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W10\Desktop\"/>
    </mc:Choice>
  </mc:AlternateContent>
  <xr:revisionPtr revIDLastSave="0" documentId="13_ncr:1_{DC1B138D-BAC1-41EF-9C7B-322C996E0148}" xr6:coauthVersionLast="47" xr6:coauthVersionMax="47" xr10:uidLastSave="{00000000-0000-0000-0000-000000000000}"/>
  <bookViews>
    <workbookView xWindow="-110" yWindow="-110" windowWidth="19420" windowHeight="10420" tabRatio="823" firstSheet="3" activeTab="13" xr2:uid="{00000000-000D-0000-FFFF-FFFF00000000}"/>
  </bookViews>
  <sheets>
    <sheet name="Січень" sheetId="1" r:id="rId1"/>
    <sheet name="Лютий" sheetId="2" r:id="rId2"/>
    <sheet name="Березень" sheetId="3" r:id="rId3"/>
    <sheet name="Квітень" sheetId="4" r:id="rId4"/>
    <sheet name="Травень" sheetId="5" r:id="rId5"/>
    <sheet name="Аркуш3" sheetId="15" r:id="rId6"/>
    <sheet name="Червень" sheetId="6" r:id="rId7"/>
    <sheet name="Липень" sheetId="7" r:id="rId8"/>
    <sheet name="Серпень" sheetId="8" r:id="rId9"/>
    <sheet name="Вересень" sheetId="9" r:id="rId10"/>
    <sheet name="Аркуш1" sheetId="13" r:id="rId11"/>
    <sheet name="Жовтень" sheetId="10" r:id="rId12"/>
    <sheet name="Листопад" sheetId="11" r:id="rId13"/>
    <sheet name="Грудень" sheetId="12" r:id="rId14"/>
    <sheet name="Аркуш2" sheetId="14" r:id="rId15"/>
  </sheets>
  <definedNames>
    <definedName name="ДніТаТижні">{0,1,2,3,4,5,6} + {0;1;2;3;4;5}*7</definedName>
    <definedName name="КалендарРік">Січень!$O$3</definedName>
    <definedName name="_xlnm.Print_Area" localSheetId="2">Березень!$A$1:$M$15</definedName>
    <definedName name="_xlnm.Print_Area" localSheetId="9">Вересень!$A$1:$M$15</definedName>
    <definedName name="_xlnm.Print_Area" localSheetId="13">Грудень!$A$1:$M$15</definedName>
    <definedName name="_xlnm.Print_Area" localSheetId="11">Жовтень!$A$1:$M$15</definedName>
    <definedName name="_xlnm.Print_Area" localSheetId="3">Квітень!$A$1:$M$15</definedName>
    <definedName name="_xlnm.Print_Area" localSheetId="7">Липень!$A$1:$M$15</definedName>
    <definedName name="_xlnm.Print_Area" localSheetId="12">Листопад!$A$1:$M$15</definedName>
    <definedName name="_xlnm.Print_Area" localSheetId="1">Лютий!$A$1:$M$15</definedName>
    <definedName name="_xlnm.Print_Area" localSheetId="8">Серпень!$A$1:$M$15</definedName>
    <definedName name="_xlnm.Print_Area" localSheetId="0">Січень!$A$1:$M$15</definedName>
    <definedName name="_xlnm.Print_Area" localSheetId="4">Травень!$A$1:$M$15</definedName>
    <definedName name="_xlnm.Print_Area" localSheetId="6">Червень!$A$1:$M$15</definedName>
    <definedName name="ПочатокТижня">Січень!$O$4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" i="1" l="1"/>
  <c r="C1" i="12"/>
  <c r="C1" i="5"/>
  <c r="F14" i="2" l="1" a="1"/>
  <c r="G14" i="2" s="1"/>
  <c r="F12" i="2" a="1"/>
  <c r="H12" i="2" s="1"/>
  <c r="G12" i="2"/>
  <c r="L12" i="2"/>
  <c r="J12" i="2"/>
  <c r="F10" i="2" a="1"/>
  <c r="G10" i="2" s="1"/>
  <c r="H10" i="2"/>
  <c r="K10" i="2"/>
  <c r="L10" i="2"/>
  <c r="F8" i="2" a="1"/>
  <c r="G8" i="2" s="1"/>
  <c r="L8" i="2"/>
  <c r="F6" i="2" a="1"/>
  <c r="K6" i="2" s="1"/>
  <c r="H6" i="2"/>
  <c r="L6" i="2"/>
  <c r="F3" i="2" a="1"/>
  <c r="G3" i="2" s="1"/>
  <c r="L3" i="2"/>
  <c r="L2" i="2" s="1"/>
  <c r="F14" i="3" a="1"/>
  <c r="F14" i="3" s="1"/>
  <c r="G14" i="3"/>
  <c r="F12" i="3" a="1"/>
  <c r="G12" i="3" s="1"/>
  <c r="F12" i="3"/>
  <c r="H12" i="3"/>
  <c r="J12" i="3"/>
  <c r="K12" i="3"/>
  <c r="I12" i="3"/>
  <c r="F10" i="3" a="1"/>
  <c r="F10" i="3" s="1"/>
  <c r="H10" i="3"/>
  <c r="J10" i="3"/>
  <c r="I10" i="3"/>
  <c r="F8" i="3" a="1"/>
  <c r="F8" i="3" s="1"/>
  <c r="H8" i="3"/>
  <c r="J8" i="3"/>
  <c r="I8" i="3"/>
  <c r="F6" i="3" a="1"/>
  <c r="F6" i="3" s="1"/>
  <c r="B5" i="3" s="1"/>
  <c r="H6" i="3"/>
  <c r="J6" i="3"/>
  <c r="I6" i="3"/>
  <c r="F3" i="3" a="1"/>
  <c r="F3" i="3" s="1"/>
  <c r="H3" i="3"/>
  <c r="H2" i="3" s="1"/>
  <c r="J3" i="3"/>
  <c r="I3" i="3"/>
  <c r="I2" i="3" s="1"/>
  <c r="F14" i="4" a="1"/>
  <c r="G14" i="4" s="1"/>
  <c r="F12" i="4" a="1"/>
  <c r="I12" i="4"/>
  <c r="J12" i="4"/>
  <c r="F10" i="4" a="1"/>
  <c r="I10" i="4" s="1"/>
  <c r="J10" i="4"/>
  <c r="F8" i="4" a="1"/>
  <c r="I8" i="4" s="1"/>
  <c r="F6" i="4" a="1"/>
  <c r="I6" i="4" s="1"/>
  <c r="F3" i="4" a="1"/>
  <c r="I3" i="4"/>
  <c r="I2" i="4" s="1"/>
  <c r="J3" i="4"/>
  <c r="J2" i="4" s="1"/>
  <c r="F14" i="5" a="1"/>
  <c r="F12" i="5" a="1"/>
  <c r="L12" i="5"/>
  <c r="H12" i="5"/>
  <c r="F10" i="5" a="1"/>
  <c r="L10" i="5" s="1"/>
  <c r="F8" i="5" a="1"/>
  <c r="L8" i="5" s="1"/>
  <c r="F6" i="5" a="1"/>
  <c r="L6" i="5"/>
  <c r="F3" i="5" a="1"/>
  <c r="L3" i="5" s="1"/>
  <c r="L2" i="5" s="1"/>
  <c r="F14" i="6" a="1"/>
  <c r="F12" i="6" a="1"/>
  <c r="G12" i="6"/>
  <c r="H12" i="6"/>
  <c r="K12" i="6"/>
  <c r="L12" i="6"/>
  <c r="J12" i="6"/>
  <c r="F10" i="6" a="1"/>
  <c r="G10" i="6" s="1"/>
  <c r="K10" i="6"/>
  <c r="L10" i="6"/>
  <c r="F8" i="6" a="1"/>
  <c r="K8" i="6" s="1"/>
  <c r="G8" i="6"/>
  <c r="H8" i="6"/>
  <c r="L8" i="6"/>
  <c r="J8" i="6"/>
  <c r="F6" i="6" a="1"/>
  <c r="G6" i="6" s="1"/>
  <c r="K6" i="6"/>
  <c r="L6" i="6"/>
  <c r="F3" i="6" a="1"/>
  <c r="K3" i="6" s="1"/>
  <c r="K2" i="6" s="1"/>
  <c r="G3" i="6"/>
  <c r="G2" i="6" s="1"/>
  <c r="H3" i="6"/>
  <c r="L3" i="6"/>
  <c r="J3" i="6"/>
  <c r="F14" i="7" a="1"/>
  <c r="F14" i="7" s="1"/>
  <c r="F12" i="7" a="1"/>
  <c r="F12" i="7" s="1"/>
  <c r="F10" i="7" a="1"/>
  <c r="F10" i="7" s="1"/>
  <c r="F8" i="7" a="1"/>
  <c r="F8" i="7" s="1"/>
  <c r="F6" i="7" a="1"/>
  <c r="F6" i="7" s="1"/>
  <c r="B5" i="7" s="1"/>
  <c r="F3" i="7" a="1"/>
  <c r="F3" i="7" s="1"/>
  <c r="F14" i="8" a="1"/>
  <c r="G14" i="8" s="1"/>
  <c r="F12" i="8" a="1"/>
  <c r="F10" i="8" a="1"/>
  <c r="F8" i="8" a="1"/>
  <c r="I8" i="8" s="1"/>
  <c r="F6" i="8" a="1"/>
  <c r="F3" i="8" a="1"/>
  <c r="F14" i="9" a="1"/>
  <c r="F12" i="9" a="1"/>
  <c r="H12" i="9"/>
  <c r="I12" i="9"/>
  <c r="L12" i="9"/>
  <c r="F10" i="9" a="1"/>
  <c r="L10" i="9" s="1"/>
  <c r="H10" i="9"/>
  <c r="I10" i="9"/>
  <c r="F8" i="9" a="1"/>
  <c r="L8" i="9" s="1"/>
  <c r="H8" i="9"/>
  <c r="I8" i="9"/>
  <c r="F6" i="9" a="1"/>
  <c r="L6" i="9" s="1"/>
  <c r="H6" i="9"/>
  <c r="I6" i="9"/>
  <c r="F3" i="9" a="1"/>
  <c r="L3" i="9" s="1"/>
  <c r="H3" i="9"/>
  <c r="I3" i="9"/>
  <c r="F14" i="10" a="1"/>
  <c r="G14" i="10"/>
  <c r="F14" i="10"/>
  <c r="F12" i="10" a="1"/>
  <c r="G12" i="10"/>
  <c r="H12" i="10"/>
  <c r="L12" i="10"/>
  <c r="I12" i="10"/>
  <c r="F10" i="10" a="1"/>
  <c r="I10" i="10"/>
  <c r="L10" i="10"/>
  <c r="F8" i="10" a="1"/>
  <c r="G8" i="10"/>
  <c r="H8" i="10"/>
  <c r="L8" i="10"/>
  <c r="I8" i="10"/>
  <c r="F6" i="10" a="1"/>
  <c r="I6" i="10"/>
  <c r="F3" i="10" a="1"/>
  <c r="L3" i="10" s="1"/>
  <c r="L2" i="10" s="1"/>
  <c r="F14" i="11" a="1"/>
  <c r="G14" i="11"/>
  <c r="F12" i="11" a="1"/>
  <c r="F10" i="11" a="1"/>
  <c r="L10" i="11"/>
  <c r="F8" i="11" a="1"/>
  <c r="F6" i="11" a="1"/>
  <c r="L6" i="11"/>
  <c r="F3" i="11" a="1"/>
  <c r="F14" i="12" a="1"/>
  <c r="G14" i="12" s="1"/>
  <c r="F12" i="12" a="1"/>
  <c r="H12" i="12"/>
  <c r="F10" i="12" a="1"/>
  <c r="H10" i="12"/>
  <c r="F8" i="12" a="1"/>
  <c r="H8" i="12" s="1"/>
  <c r="F6" i="12" a="1"/>
  <c r="H6" i="12"/>
  <c r="F3" i="12" a="1"/>
  <c r="H3" i="12" s="1"/>
  <c r="H2" i="12" s="1"/>
  <c r="F14" i="1" a="1"/>
  <c r="G14" i="1" s="1"/>
  <c r="F14" i="1"/>
  <c r="F12" i="1" a="1"/>
  <c r="H12" i="1" s="1"/>
  <c r="F12" i="1"/>
  <c r="G12" i="1"/>
  <c r="J12" i="1"/>
  <c r="K12" i="1"/>
  <c r="L12" i="1"/>
  <c r="F10" i="1" a="1"/>
  <c r="H10" i="1" s="1"/>
  <c r="F10" i="1"/>
  <c r="G10" i="1"/>
  <c r="J10" i="1"/>
  <c r="K10" i="1"/>
  <c r="L10" i="1"/>
  <c r="F8" i="1" a="1"/>
  <c r="K8" i="1" s="1"/>
  <c r="G8" i="1"/>
  <c r="H8" i="1"/>
  <c r="L8" i="1"/>
  <c r="J8" i="1"/>
  <c r="F6" i="1" a="1"/>
  <c r="L6" i="1"/>
  <c r="F3" i="1" a="1"/>
  <c r="K3" i="1" s="1"/>
  <c r="G3" i="1"/>
  <c r="G2" i="1" s="1"/>
  <c r="H3" i="1"/>
  <c r="L3" i="1"/>
  <c r="L2" i="1" s="1"/>
  <c r="J3" i="1"/>
  <c r="J2" i="1" s="1"/>
  <c r="F2" i="4"/>
  <c r="F2" i="5"/>
  <c r="F2" i="6"/>
  <c r="F2" i="7"/>
  <c r="F2" i="8"/>
  <c r="F2" i="9"/>
  <c r="F2" i="10"/>
  <c r="F2" i="11"/>
  <c r="F2" i="12"/>
  <c r="F2" i="1"/>
  <c r="F2" i="2"/>
  <c r="F2" i="3"/>
  <c r="C1" i="3"/>
  <c r="C1" i="4"/>
  <c r="C1" i="6"/>
  <c r="C1" i="7"/>
  <c r="C1" i="8"/>
  <c r="C1" i="9"/>
  <c r="C1" i="10"/>
  <c r="C1" i="11"/>
  <c r="C1" i="2"/>
  <c r="I10" i="11"/>
  <c r="L3" i="8"/>
  <c r="L2" i="8" s="1"/>
  <c r="G3" i="8"/>
  <c r="G2" i="8" s="1"/>
  <c r="L10" i="8"/>
  <c r="G10" i="8"/>
  <c r="I3" i="12"/>
  <c r="I2" i="12" s="1"/>
  <c r="F6" i="11"/>
  <c r="J6" i="11"/>
  <c r="F10" i="11"/>
  <c r="J10" i="11"/>
  <c r="F14" i="11"/>
  <c r="I6" i="11"/>
  <c r="H6" i="8"/>
  <c r="K6" i="8"/>
  <c r="H12" i="8"/>
  <c r="K12" i="8"/>
  <c r="I12" i="12"/>
  <c r="J6" i="10"/>
  <c r="F6" i="10"/>
  <c r="K6" i="10"/>
  <c r="K10" i="10"/>
  <c r="F3" i="8"/>
  <c r="F8" i="8"/>
  <c r="F10" i="8"/>
  <c r="F12" i="8"/>
  <c r="F14" i="8"/>
  <c r="K6" i="5"/>
  <c r="G6" i="5"/>
  <c r="J6" i="5"/>
  <c r="F6" i="5"/>
  <c r="B5" i="5" s="1"/>
  <c r="K10" i="5"/>
  <c r="G10" i="5"/>
  <c r="J10" i="5"/>
  <c r="F10" i="5"/>
  <c r="G14" i="5"/>
  <c r="F14" i="5"/>
  <c r="I6" i="1"/>
  <c r="I8" i="1"/>
  <c r="J3" i="12"/>
  <c r="J2" i="12" s="1"/>
  <c r="F6" i="12"/>
  <c r="B5" i="12" s="1"/>
  <c r="J8" i="12"/>
  <c r="F10" i="12"/>
  <c r="J12" i="12"/>
  <c r="F14" i="12"/>
  <c r="G6" i="11"/>
  <c r="K6" i="11"/>
  <c r="G10" i="11"/>
  <c r="K10" i="11"/>
  <c r="G6" i="10"/>
  <c r="L6" i="10"/>
  <c r="G10" i="10"/>
  <c r="I10" i="8"/>
  <c r="H6" i="5"/>
  <c r="H10" i="5"/>
  <c r="L3" i="4"/>
  <c r="L2" i="4" s="1"/>
  <c r="H3" i="4"/>
  <c r="H2" i="4" s="1"/>
  <c r="K3" i="4"/>
  <c r="K2" i="4" s="1"/>
  <c r="G3" i="4"/>
  <c r="L6" i="4"/>
  <c r="K6" i="4"/>
  <c r="G6" i="4"/>
  <c r="L8" i="4"/>
  <c r="H8" i="4"/>
  <c r="K8" i="4"/>
  <c r="G8" i="4"/>
  <c r="L10" i="4"/>
  <c r="H10" i="4"/>
  <c r="K10" i="4"/>
  <c r="G10" i="4"/>
  <c r="L12" i="4"/>
  <c r="H12" i="4"/>
  <c r="K12" i="4"/>
  <c r="G12" i="4"/>
  <c r="I8" i="11"/>
  <c r="L8" i="8"/>
  <c r="H8" i="8"/>
  <c r="K8" i="8"/>
  <c r="G8" i="8"/>
  <c r="J10" i="10"/>
  <c r="F10" i="10"/>
  <c r="K3" i="5"/>
  <c r="G3" i="5"/>
  <c r="G2" i="5" s="1"/>
  <c r="J3" i="5"/>
  <c r="F3" i="5"/>
  <c r="J8" i="5"/>
  <c r="F8" i="5"/>
  <c r="K12" i="5"/>
  <c r="G12" i="5"/>
  <c r="J12" i="5"/>
  <c r="F12" i="5"/>
  <c r="I3" i="1"/>
  <c r="F3" i="1"/>
  <c r="F6" i="1"/>
  <c r="B5" i="1" s="1"/>
  <c r="F8" i="1"/>
  <c r="G10" i="12"/>
  <c r="H6" i="11"/>
  <c r="H8" i="11"/>
  <c r="H10" i="11"/>
  <c r="J3" i="10"/>
  <c r="J2" i="10" s="1"/>
  <c r="F3" i="10"/>
  <c r="H6" i="10"/>
  <c r="J8" i="10"/>
  <c r="F8" i="10"/>
  <c r="K8" i="10"/>
  <c r="H10" i="10"/>
  <c r="J12" i="10"/>
  <c r="F12" i="10"/>
  <c r="K12" i="10"/>
  <c r="K3" i="9"/>
  <c r="K2" i="9" s="1"/>
  <c r="G3" i="9"/>
  <c r="G2" i="9" s="1"/>
  <c r="J3" i="9"/>
  <c r="J2" i="9" s="1"/>
  <c r="F3" i="9"/>
  <c r="K6" i="9"/>
  <c r="G6" i="9"/>
  <c r="J6" i="9"/>
  <c r="F6" i="9"/>
  <c r="K8" i="9"/>
  <c r="G8" i="9"/>
  <c r="J8" i="9"/>
  <c r="F8" i="9"/>
  <c r="K10" i="9"/>
  <c r="G10" i="9"/>
  <c r="J10" i="9"/>
  <c r="F10" i="9"/>
  <c r="K12" i="9"/>
  <c r="G12" i="9"/>
  <c r="J12" i="9"/>
  <c r="F12" i="9"/>
  <c r="G14" i="9"/>
  <c r="F14" i="9"/>
  <c r="J3" i="8"/>
  <c r="J8" i="8"/>
  <c r="J10" i="8"/>
  <c r="J12" i="8"/>
  <c r="I3" i="5"/>
  <c r="I2" i="5" s="1"/>
  <c r="I6" i="5"/>
  <c r="I8" i="5"/>
  <c r="I10" i="5"/>
  <c r="I12" i="5"/>
  <c r="F3" i="4"/>
  <c r="F6" i="4"/>
  <c r="B5" i="4" s="1"/>
  <c r="F8" i="4"/>
  <c r="F10" i="4"/>
  <c r="F12" i="4"/>
  <c r="F14" i="4"/>
  <c r="I3" i="6"/>
  <c r="I2" i="6" s="1"/>
  <c r="I6" i="6"/>
  <c r="I8" i="6"/>
  <c r="I10" i="6"/>
  <c r="I12" i="6"/>
  <c r="I3" i="2"/>
  <c r="I2" i="2" s="1"/>
  <c r="I6" i="2"/>
  <c r="I8" i="2"/>
  <c r="I10" i="2"/>
  <c r="I12" i="2"/>
  <c r="F3" i="6"/>
  <c r="F8" i="6"/>
  <c r="F10" i="6"/>
  <c r="F12" i="6"/>
  <c r="F3" i="2"/>
  <c r="F6" i="2"/>
  <c r="B5" i="2" s="1"/>
  <c r="F8" i="2"/>
  <c r="F10" i="2"/>
  <c r="F12" i="2"/>
  <c r="L2" i="6"/>
  <c r="H2" i="9"/>
  <c r="L2" i="9"/>
  <c r="B5" i="9"/>
  <c r="J2" i="8"/>
  <c r="B5" i="11"/>
  <c r="B5" i="10"/>
  <c r="I2" i="9"/>
  <c r="H2" i="6"/>
  <c r="J2" i="6"/>
  <c r="K2" i="5"/>
  <c r="J2" i="5"/>
  <c r="J2" i="3"/>
  <c r="G2" i="2"/>
  <c r="G2" i="4"/>
  <c r="K2" i="1"/>
  <c r="I2" i="1"/>
  <c r="H2" i="1"/>
  <c r="G6" i="1" l="1"/>
  <c r="J6" i="1"/>
  <c r="H6" i="1"/>
  <c r="F3" i="11"/>
  <c r="G3" i="11"/>
  <c r="G2" i="11" s="1"/>
  <c r="I3" i="11"/>
  <c r="I2" i="11" s="1"/>
  <c r="J3" i="11"/>
  <c r="J2" i="11" s="1"/>
  <c r="K3" i="11"/>
  <c r="K2" i="11" s="1"/>
  <c r="H3" i="11"/>
  <c r="H2" i="11" s="1"/>
  <c r="F8" i="11"/>
  <c r="G8" i="11"/>
  <c r="J8" i="11"/>
  <c r="K8" i="11"/>
  <c r="F12" i="11"/>
  <c r="I12" i="11"/>
  <c r="G12" i="11"/>
  <c r="J12" i="11"/>
  <c r="K12" i="11"/>
  <c r="H12" i="11"/>
  <c r="H10" i="8"/>
  <c r="K10" i="8"/>
  <c r="K3" i="7"/>
  <c r="K2" i="7" s="1"/>
  <c r="J6" i="7"/>
  <c r="J8" i="7"/>
  <c r="J10" i="7"/>
  <c r="J12" i="7"/>
  <c r="L3" i="12"/>
  <c r="L2" i="12" s="1"/>
  <c r="G3" i="12"/>
  <c r="G2" i="12" s="1"/>
  <c r="K3" i="12"/>
  <c r="K2" i="12" s="1"/>
  <c r="F3" i="12"/>
  <c r="L8" i="12"/>
  <c r="K8" i="12"/>
  <c r="F8" i="12"/>
  <c r="I8" i="12"/>
  <c r="L12" i="12"/>
  <c r="G12" i="12"/>
  <c r="K12" i="12"/>
  <c r="F12" i="12"/>
  <c r="G3" i="10"/>
  <c r="G2" i="10" s="1"/>
  <c r="K3" i="10"/>
  <c r="K2" i="10" s="1"/>
  <c r="H3" i="10"/>
  <c r="H2" i="10" s="1"/>
  <c r="H3" i="8"/>
  <c r="H2" i="8" s="1"/>
  <c r="K3" i="8"/>
  <c r="K2" i="8" s="1"/>
  <c r="I3" i="8"/>
  <c r="I2" i="8" s="1"/>
  <c r="G12" i="8"/>
  <c r="I12" i="8"/>
  <c r="L12" i="8"/>
  <c r="G6" i="8"/>
  <c r="F6" i="8"/>
  <c r="B5" i="8" s="1"/>
  <c r="J6" i="8"/>
  <c r="L6" i="8"/>
  <c r="G3" i="7"/>
  <c r="G2" i="7" s="1"/>
  <c r="L3" i="7"/>
  <c r="L2" i="7" s="1"/>
  <c r="J3" i="7"/>
  <c r="J2" i="7" s="1"/>
  <c r="G6" i="7"/>
  <c r="L6" i="7"/>
  <c r="H6" i="7"/>
  <c r="I6" i="7"/>
  <c r="G8" i="7"/>
  <c r="L8" i="7"/>
  <c r="H8" i="7"/>
  <c r="I8" i="7"/>
  <c r="G10" i="7"/>
  <c r="L10" i="7"/>
  <c r="H10" i="7"/>
  <c r="I10" i="7"/>
  <c r="G12" i="7"/>
  <c r="L12" i="7"/>
  <c r="H12" i="7"/>
  <c r="I12" i="7"/>
  <c r="G14" i="6"/>
  <c r="F14" i="6"/>
  <c r="H3" i="7"/>
  <c r="H2" i="7" s="1"/>
  <c r="G8" i="12"/>
  <c r="I6" i="8"/>
  <c r="K6" i="1"/>
  <c r="L6" i="12"/>
  <c r="J6" i="12"/>
  <c r="I6" i="12"/>
  <c r="K6" i="12"/>
  <c r="G6" i="12"/>
  <c r="L10" i="12"/>
  <c r="J10" i="12"/>
  <c r="K10" i="12"/>
  <c r="I10" i="12"/>
  <c r="L3" i="11"/>
  <c r="L2" i="11" s="1"/>
  <c r="L8" i="11"/>
  <c r="L12" i="11"/>
  <c r="I3" i="10"/>
  <c r="I2" i="10" s="1"/>
  <c r="I3" i="7"/>
  <c r="I2" i="7" s="1"/>
  <c r="K6" i="7"/>
  <c r="K8" i="7"/>
  <c r="K10" i="7"/>
  <c r="K12" i="7"/>
  <c r="G8" i="5"/>
  <c r="G14" i="7"/>
  <c r="H6" i="6"/>
  <c r="H10" i="6"/>
  <c r="H3" i="5"/>
  <c r="H2" i="5" s="1"/>
  <c r="J8" i="4"/>
  <c r="L3" i="3"/>
  <c r="L2" i="3" s="1"/>
  <c r="G3" i="3"/>
  <c r="G2" i="3" s="1"/>
  <c r="L6" i="3"/>
  <c r="G6" i="3"/>
  <c r="L8" i="3"/>
  <c r="G8" i="3"/>
  <c r="L10" i="3"/>
  <c r="G10" i="3"/>
  <c r="L12" i="3"/>
  <c r="K3" i="2"/>
  <c r="K2" i="2" s="1"/>
  <c r="J6" i="2"/>
  <c r="G6" i="2"/>
  <c r="K8" i="2"/>
  <c r="J10" i="2"/>
  <c r="K12" i="2"/>
  <c r="F14" i="2"/>
  <c r="F6" i="6"/>
  <c r="B5" i="6" s="1"/>
  <c r="K8" i="5"/>
  <c r="H6" i="4"/>
  <c r="I10" i="1"/>
  <c r="I12" i="1"/>
  <c r="J6" i="6"/>
  <c r="J10" i="6"/>
  <c r="H8" i="5"/>
  <c r="J6" i="4"/>
  <c r="K3" i="3"/>
  <c r="K2" i="3" s="1"/>
  <c r="K6" i="3"/>
  <c r="K8" i="3"/>
  <c r="K10" i="3"/>
  <c r="H3" i="2"/>
  <c r="H2" i="2" s="1"/>
  <c r="H8" i="2"/>
  <c r="J3" i="2"/>
  <c r="J2" i="2" s="1"/>
  <c r="J8" i="2"/>
</calcChain>
</file>

<file path=xl/sharedStrings.xml><?xml version="1.0" encoding="utf-8"?>
<sst xmlns="http://schemas.openxmlformats.org/spreadsheetml/2006/main" count="277" uniqueCount="9">
  <si>
    <t>НАСТРОЙКИ КАЛЕНДАРЯ</t>
  </si>
  <si>
    <t>РІК</t>
  </si>
  <si>
    <t>ПЕРШИЙ ДЕНЬ ТИЖНЯ</t>
  </si>
  <si>
    <t>ПН</t>
  </si>
  <si>
    <t>НОТАТКИ:</t>
  </si>
  <si>
    <t>Учасники освітнього процесу ЛНУ ім. Івана Франка</t>
  </si>
  <si>
    <t>Учасники Центру</t>
  </si>
  <si>
    <t>Інші (установи, організації, фізичні особи)</t>
  </si>
  <si>
    <t>Робота зі студентами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</si>
</sst>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"/>
    <numFmt numFmtId="165" formatCode="ddd"/>
    <numFmt numFmtId="166" formatCode="[$-F800]dddd\,\ mmmm\ dd\,\ yyyy"/>
  </numFmts>
  <fonts count="16" x14ac:knownFonts="1">
    <font>
      <sz val="10"/>
      <color theme="1" tint="4.9989318521683403E-2"/>
      <name val="Century Gothic"/>
      <family val="2"/>
      <scheme val="minor"/>
    </font>
    <font>
      <sz val="12"/>
      <color theme="1" tint="4.9989318521683403E-2"/>
      <name val="Century Gothic"/>
      <family val="2"/>
      <scheme val="minor"/>
    </font>
    <font>
      <sz val="10"/>
      <name val="Century Gothic"/>
      <family val="2"/>
    </font>
    <font>
      <sz val="9"/>
      <color theme="1" tint="4.9989318521683403E-2"/>
      <name val="Century Gothic"/>
      <family val="2"/>
      <scheme val="minor"/>
    </font>
    <font>
      <sz val="36"/>
      <color theme="0"/>
      <name val="Century Gothic"/>
      <family val="2"/>
      <scheme val="major"/>
    </font>
    <font>
      <sz val="12"/>
      <color theme="0"/>
      <name val="Century Gothic"/>
      <family val="2"/>
      <scheme val="major"/>
    </font>
    <font>
      <sz val="16"/>
      <color theme="0"/>
      <name val="Century Gothic"/>
      <family val="2"/>
      <scheme val="major"/>
    </font>
    <font>
      <sz val="40"/>
      <color theme="0"/>
      <name val="Century Gothic"/>
      <family val="2"/>
      <scheme val="major"/>
    </font>
    <font>
      <sz val="16"/>
      <color theme="0"/>
      <name val="Century Gothic"/>
      <family val="1"/>
      <scheme val="major"/>
    </font>
    <font>
      <sz val="18"/>
      <color theme="0"/>
      <name val="Century Gothic"/>
      <family val="2"/>
      <scheme val="minor"/>
    </font>
    <font>
      <sz val="11"/>
      <color theme="3"/>
      <name val="Century Gothic"/>
      <family val="2"/>
      <scheme val="minor"/>
    </font>
    <font>
      <b/>
      <sz val="10"/>
      <color theme="1" tint="4.9989318521683403E-2"/>
      <name val="Times New Roman"/>
    </font>
    <font>
      <b/>
      <sz val="10"/>
      <color theme="1" tint="4.9989318521683403E-2"/>
      <name val="Times New Roman"/>
      <family val="1"/>
      <charset val="204"/>
    </font>
    <font>
      <b/>
      <sz val="11"/>
      <color theme="3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b/>
      <sz val="9"/>
      <color theme="1" tint="4.9989318521683403E-2"/>
      <name val="Times New Roman"/>
      <family val="1"/>
      <charset val="204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gradientFill>
        <stop position="0">
          <color theme="3"/>
        </stop>
        <stop position="0.5">
          <color theme="3" tint="0.40000610370189521"/>
        </stop>
        <stop position="1">
          <color theme="3"/>
        </stop>
      </gradientFill>
    </fill>
    <fill>
      <gradientFill degree="90">
        <stop position="0">
          <color theme="3"/>
        </stop>
        <stop position="0.5">
          <color theme="3" tint="0.40000610370189521"/>
        </stop>
        <stop position="1">
          <color theme="3"/>
        </stop>
      </gradientFill>
    </fill>
    <fill>
      <patternFill patternType="solid">
        <fgColor theme="3"/>
        <bgColor auto="1"/>
      </patternFill>
    </fill>
    <fill>
      <patternFill patternType="solid">
        <fgColor theme="3" tint="0.399945066682943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</borders>
  <cellStyleXfs count="8">
    <xf numFmtId="0" fontId="0" fillId="0" borderId="0">
      <alignment vertical="center"/>
    </xf>
    <xf numFmtId="0" fontId="4" fillId="4" borderId="0" applyNumberFormat="0" applyBorder="0" applyAlignment="0" applyProtection="0"/>
    <xf numFmtId="0" fontId="8" fillId="3" borderId="0" applyNumberFormat="0" applyProtection="0">
      <alignment horizontal="center"/>
    </xf>
    <xf numFmtId="0" fontId="9" fillId="8" borderId="0" applyProtection="0">
      <alignment horizontal="center" vertical="top"/>
    </xf>
    <xf numFmtId="0" fontId="5" fillId="9" borderId="0" applyNumberFormat="0" applyAlignment="0" applyProtection="0"/>
    <xf numFmtId="0" fontId="10" fillId="0" borderId="0" applyNumberFormat="0" applyFill="0" applyBorder="0" applyAlignment="0" applyProtection="0"/>
    <xf numFmtId="164" fontId="3" fillId="0" borderId="5" applyNumberFormat="0" applyBorder="0" applyProtection="0">
      <alignment horizontal="left" vertical="center" wrapText="1" indent="1"/>
    </xf>
    <xf numFmtId="0" fontId="6" fillId="3" borderId="0" applyProtection="0">
      <alignment horizontal="center"/>
    </xf>
  </cellStyleXfs>
  <cellXfs count="81">
    <xf numFmtId="0" fontId="0" fillId="0" borderId="0" xfId="0">
      <alignment vertical="center"/>
    </xf>
    <xf numFmtId="0" fontId="0" fillId="2" borderId="0" xfId="0" applyFill="1">
      <alignment vertical="center"/>
    </xf>
    <xf numFmtId="0" fontId="2" fillId="2" borderId="0" xfId="0" applyFont="1" applyFill="1">
      <alignment vertical="center"/>
    </xf>
    <xf numFmtId="0" fontId="2" fillId="0" borderId="0" xfId="0" applyFont="1">
      <alignment vertical="center"/>
    </xf>
    <xf numFmtId="0" fontId="0" fillId="2" borderId="0" xfId="0" applyFill="1" applyAlignment="1">
      <alignment horizontal="left" indent="1"/>
    </xf>
    <xf numFmtId="0" fontId="0" fillId="0" borderId="0" xfId="0" applyAlignment="1">
      <alignment horizontal="left" indent="1"/>
    </xf>
    <xf numFmtId="0" fontId="1" fillId="0" borderId="0" xfId="0" applyFont="1">
      <alignment vertical="center"/>
    </xf>
    <xf numFmtId="165" fontId="1" fillId="0" borderId="0" xfId="0" applyNumberFormat="1" applyFont="1" applyAlignment="1">
      <alignment horizontal="right" vertical="top"/>
    </xf>
    <xf numFmtId="0" fontId="0" fillId="2" borderId="0" xfId="0" applyFill="1" applyAlignment="1">
      <alignment horizontal="right"/>
    </xf>
    <xf numFmtId="0" fontId="0" fillId="4" borderId="0" xfId="0" applyFill="1">
      <alignment vertical="center"/>
    </xf>
    <xf numFmtId="0" fontId="2" fillId="4" borderId="0" xfId="0" applyFont="1" applyFill="1">
      <alignment vertical="center"/>
    </xf>
    <xf numFmtId="0" fontId="0" fillId="4" borderId="0" xfId="0" applyFill="1" applyAlignment="1">
      <alignment horizontal="left" indent="1"/>
    </xf>
    <xf numFmtId="0" fontId="5" fillId="9" borderId="0" xfId="4" applyAlignment="1">
      <alignment horizontal="left" vertical="center" indent="1"/>
    </xf>
    <xf numFmtId="0" fontId="5" fillId="9" borderId="0" xfId="4" applyAlignment="1">
      <alignment horizontal="left" vertical="top" indent="1"/>
    </xf>
    <xf numFmtId="166" fontId="0" fillId="0" borderId="0" xfId="0" applyNumberForma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7" fillId="7" borderId="0" xfId="0" applyFont="1" applyFill="1" applyAlignment="1">
      <alignment horizontal="center" vertical="top" textRotation="90"/>
    </xf>
    <xf numFmtId="164" fontId="3" fillId="0" borderId="5" xfId="6" applyNumberFormat="1" applyBorder="1" applyAlignment="1">
      <alignment horizontal="left" vertical="center" wrapText="1" indent="1"/>
    </xf>
    <xf numFmtId="164" fontId="3" fillId="0" borderId="6" xfId="6" applyNumberFormat="1" applyBorder="1" applyAlignment="1">
      <alignment horizontal="left" vertical="center" wrapText="1" indent="1"/>
    </xf>
    <xf numFmtId="164" fontId="3" fillId="0" borderId="8" xfId="6" applyNumberFormat="1" applyBorder="1" applyAlignment="1">
      <alignment horizontal="left" vertical="center" wrapText="1" indent="1"/>
    </xf>
    <xf numFmtId="164" fontId="3" fillId="0" borderId="9" xfId="6" applyNumberFormat="1" applyBorder="1" applyAlignment="1">
      <alignment horizontal="left" vertical="center" wrapText="1" indent="1"/>
    </xf>
    <xf numFmtId="0" fontId="5" fillId="6" borderId="0" xfId="0" applyFont="1" applyFill="1" applyAlignment="1">
      <alignment horizontal="center" vertical="center"/>
    </xf>
    <xf numFmtId="0" fontId="6" fillId="3" borderId="0" xfId="7" applyAlignment="1">
      <alignment horizontal="center"/>
    </xf>
    <xf numFmtId="164" fontId="12" fillId="0" borderId="2" xfId="0" applyNumberFormat="1" applyFont="1" applyFill="1" applyBorder="1" applyAlignment="1">
      <alignment horizontal="left" vertical="center" wrapText="1" indent="1"/>
    </xf>
    <xf numFmtId="164" fontId="12" fillId="0" borderId="3" xfId="0" applyNumberFormat="1" applyFont="1" applyFill="1" applyBorder="1" applyAlignment="1">
      <alignment horizontal="left" vertical="center" wrapText="1" indent="1"/>
    </xf>
    <xf numFmtId="164" fontId="12" fillId="12" borderId="2" xfId="0" applyNumberFormat="1" applyFont="1" applyFill="1" applyBorder="1" applyAlignment="1">
      <alignment horizontal="left" vertical="center" wrapText="1" indent="1"/>
    </xf>
    <xf numFmtId="164" fontId="12" fillId="12" borderId="3" xfId="0" applyNumberFormat="1" applyFont="1" applyFill="1" applyBorder="1" applyAlignment="1">
      <alignment horizontal="left" vertical="center" wrapText="1" indent="1"/>
    </xf>
    <xf numFmtId="164" fontId="12" fillId="13" borderId="2" xfId="0" applyNumberFormat="1" applyFont="1" applyFill="1" applyBorder="1" applyAlignment="1">
      <alignment horizontal="left" vertical="center" wrapText="1" indent="1"/>
    </xf>
    <xf numFmtId="164" fontId="12" fillId="13" borderId="3" xfId="0" applyNumberFormat="1" applyFont="1" applyFill="1" applyBorder="1" applyAlignment="1">
      <alignment horizontal="left" vertical="center" wrapText="1" indent="1"/>
    </xf>
    <xf numFmtId="164" fontId="12" fillId="11" borderId="2" xfId="0" applyNumberFormat="1" applyFont="1" applyFill="1" applyBorder="1" applyAlignment="1">
      <alignment horizontal="left" vertical="center" wrapText="1" indent="1"/>
    </xf>
    <xf numFmtId="164" fontId="12" fillId="11" borderId="3" xfId="0" applyNumberFormat="1" applyFont="1" applyFill="1" applyBorder="1" applyAlignment="1">
      <alignment horizontal="left" vertical="center" wrapText="1" indent="1"/>
    </xf>
    <xf numFmtId="0" fontId="9" fillId="8" borderId="0" xfId="3" applyAlignment="1">
      <alignment horizontal="center" vertical="top"/>
    </xf>
    <xf numFmtId="164" fontId="12" fillId="10" borderId="2" xfId="0" applyNumberFormat="1" applyFont="1" applyFill="1" applyBorder="1" applyAlignment="1">
      <alignment horizontal="left" vertical="center" wrapText="1" indent="1"/>
    </xf>
    <xf numFmtId="164" fontId="12" fillId="10" borderId="3" xfId="0" applyNumberFormat="1" applyFont="1" applyFill="1" applyBorder="1" applyAlignment="1">
      <alignment horizontal="left" vertical="center" wrapText="1" indent="1"/>
    </xf>
    <xf numFmtId="164" fontId="13" fillId="0" borderId="1" xfId="5" applyNumberFormat="1" applyFont="1" applyFill="1" applyBorder="1" applyAlignment="1">
      <alignment horizontal="left" wrapText="1" indent="1"/>
    </xf>
    <xf numFmtId="0" fontId="12" fillId="10" borderId="2" xfId="0" applyFont="1" applyFill="1" applyBorder="1" applyAlignment="1">
      <alignment horizontal="left" vertical="center" wrapText="1" indent="1"/>
    </xf>
    <xf numFmtId="0" fontId="12" fillId="12" borderId="2" xfId="0" applyFont="1" applyFill="1" applyBorder="1" applyAlignment="1">
      <alignment horizontal="center" vertical="center" wrapText="1"/>
    </xf>
    <xf numFmtId="0" fontId="12" fillId="13" borderId="2" xfId="0" applyFont="1" applyFill="1" applyBorder="1" applyAlignment="1">
      <alignment horizontal="left" vertical="center" wrapText="1" indent="1"/>
    </xf>
    <xf numFmtId="0" fontId="12" fillId="11" borderId="2" xfId="0" applyFont="1" applyFill="1" applyBorder="1" applyAlignment="1">
      <alignment horizontal="center" vertical="center" wrapText="1"/>
    </xf>
    <xf numFmtId="0" fontId="14" fillId="9" borderId="0" xfId="4" applyFont="1" applyAlignment="1">
      <alignment horizontal="left" indent="1"/>
    </xf>
    <xf numFmtId="164" fontId="13" fillId="5" borderId="1" xfId="5" applyNumberFormat="1" applyFont="1" applyFill="1" applyBorder="1" applyAlignment="1">
      <alignment horizontal="left" wrapText="1" indent="1"/>
    </xf>
    <xf numFmtId="164" fontId="12" fillId="0" borderId="2" xfId="0" applyNumberFormat="1" applyFont="1" applyBorder="1" applyAlignment="1">
      <alignment horizontal="left" vertical="center" wrapText="1" indent="1"/>
    </xf>
    <xf numFmtId="164" fontId="12" fillId="5" borderId="2" xfId="0" applyNumberFormat="1" applyFont="1" applyFill="1" applyBorder="1" applyAlignment="1">
      <alignment horizontal="left" vertical="center" wrapText="1" indent="1"/>
    </xf>
    <xf numFmtId="164" fontId="12" fillId="0" borderId="3" xfId="0" applyNumberFormat="1" applyFont="1" applyBorder="1" applyAlignment="1">
      <alignment horizontal="left" vertical="center" wrapText="1" indent="1"/>
    </xf>
    <xf numFmtId="164" fontId="12" fillId="5" borderId="3" xfId="0" applyNumberFormat="1" applyFont="1" applyFill="1" applyBorder="1" applyAlignment="1">
      <alignment horizontal="left" vertical="center" wrapText="1" indent="1"/>
    </xf>
    <xf numFmtId="0" fontId="12" fillId="0" borderId="0" xfId="0" applyFont="1">
      <alignment vertical="center"/>
    </xf>
    <xf numFmtId="0" fontId="12" fillId="0" borderId="3" xfId="0" applyFont="1" applyBorder="1">
      <alignment vertical="center"/>
    </xf>
    <xf numFmtId="0" fontId="12" fillId="0" borderId="2" xfId="0" applyFont="1" applyFill="1" applyBorder="1" applyAlignment="1">
      <alignment horizontal="left" vertical="center" wrapText="1" indent="1"/>
    </xf>
    <xf numFmtId="164" fontId="15" fillId="0" borderId="4" xfId="6" applyNumberFormat="1" applyFont="1" applyBorder="1" applyAlignment="1">
      <alignment horizontal="right" vertical="center" wrapText="1" indent="1"/>
    </xf>
    <xf numFmtId="0" fontId="12" fillId="0" borderId="3" xfId="0" applyFont="1" applyBorder="1" applyAlignment="1">
      <alignment horizontal="left" vertical="center" wrapText="1" indent="1"/>
    </xf>
    <xf numFmtId="164" fontId="15" fillId="0" borderId="7" xfId="6" applyNumberFormat="1" applyFont="1" applyBorder="1" applyAlignment="1">
      <alignment horizontal="right" vertical="center" wrapText="1" indent="1"/>
    </xf>
    <xf numFmtId="164" fontId="15" fillId="0" borderId="5" xfId="6" applyNumberFormat="1" applyFont="1" applyBorder="1" applyAlignment="1">
      <alignment horizontal="left" vertical="center" wrapText="1" indent="1"/>
    </xf>
    <xf numFmtId="164" fontId="15" fillId="0" borderId="6" xfId="6" applyNumberFormat="1" applyFont="1" applyBorder="1" applyAlignment="1">
      <alignment horizontal="left" vertical="center" wrapText="1" indent="1"/>
    </xf>
    <xf numFmtId="164" fontId="15" fillId="0" borderId="8" xfId="6" applyNumberFormat="1" applyFont="1" applyBorder="1" applyAlignment="1">
      <alignment horizontal="left" vertical="center" wrapText="1" indent="1"/>
    </xf>
    <xf numFmtId="164" fontId="15" fillId="0" borderId="9" xfId="6" applyNumberFormat="1" applyFont="1" applyBorder="1" applyAlignment="1">
      <alignment horizontal="left" vertical="center" wrapText="1" indent="1"/>
    </xf>
    <xf numFmtId="164" fontId="13" fillId="5" borderId="2" xfId="5" applyNumberFormat="1" applyFont="1" applyFill="1" applyBorder="1" applyAlignment="1">
      <alignment horizontal="left" wrapText="1" indent="1"/>
    </xf>
    <xf numFmtId="0" fontId="14" fillId="9" borderId="0" xfId="4" applyFont="1" applyAlignment="1">
      <alignment horizontal="center"/>
    </xf>
    <xf numFmtId="164" fontId="13" fillId="0" borderId="1" xfId="5" applyNumberFormat="1" applyFont="1" applyFill="1" applyBorder="1" applyAlignment="1">
      <alignment horizontal="center" wrapText="1"/>
    </xf>
    <xf numFmtId="164" fontId="12" fillId="0" borderId="2" xfId="0" applyNumberFormat="1" applyFont="1" applyFill="1" applyBorder="1" applyAlignment="1">
      <alignment horizontal="center" vertical="center" wrapText="1"/>
    </xf>
    <xf numFmtId="164" fontId="12" fillId="11" borderId="2" xfId="0" applyNumberFormat="1" applyFont="1" applyFill="1" applyBorder="1" applyAlignment="1">
      <alignment horizontal="center" vertical="center" wrapText="1"/>
    </xf>
    <xf numFmtId="164" fontId="12" fillId="0" borderId="3" xfId="0" applyNumberFormat="1" applyFont="1" applyFill="1" applyBorder="1" applyAlignment="1">
      <alignment horizontal="center" vertical="center" wrapText="1"/>
    </xf>
    <xf numFmtId="164" fontId="12" fillId="11" borderId="3" xfId="0" applyNumberFormat="1" applyFont="1" applyFill="1" applyBorder="1" applyAlignment="1">
      <alignment horizontal="center" vertical="center" wrapText="1"/>
    </xf>
    <xf numFmtId="164" fontId="15" fillId="0" borderId="4" xfId="6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164" fontId="15" fillId="0" borderId="7" xfId="6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164" fontId="12" fillId="12" borderId="2" xfId="0" applyNumberFormat="1" applyFont="1" applyFill="1" applyBorder="1" applyAlignment="1">
      <alignment horizontal="center" vertical="center" wrapText="1"/>
    </xf>
    <xf numFmtId="164" fontId="12" fillId="12" borderId="3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14" fillId="9" borderId="0" xfId="4" applyFont="1" applyAlignment="1">
      <alignment horizontal="left"/>
    </xf>
    <xf numFmtId="164" fontId="13" fillId="0" borderId="1" xfId="5" applyNumberFormat="1" applyFont="1" applyFill="1" applyBorder="1" applyAlignment="1">
      <alignment horizontal="left" wrapText="1"/>
    </xf>
    <xf numFmtId="164" fontId="12" fillId="0" borderId="2" xfId="0" applyNumberFormat="1" applyFont="1" applyFill="1" applyBorder="1" applyAlignment="1">
      <alignment horizontal="left" vertical="center" wrapText="1"/>
    </xf>
    <xf numFmtId="164" fontId="12" fillId="0" borderId="3" xfId="0" applyNumberFormat="1" applyFont="1" applyFill="1" applyBorder="1" applyAlignment="1">
      <alignment horizontal="left" vertical="center" wrapText="1"/>
    </xf>
    <xf numFmtId="0" fontId="12" fillId="13" borderId="2" xfId="0" applyFont="1" applyFill="1" applyBorder="1" applyAlignment="1">
      <alignment horizontal="left" vertical="center" wrapText="1"/>
    </xf>
    <xf numFmtId="0" fontId="12" fillId="0" borderId="3" xfId="0" applyFont="1" applyFill="1" applyBorder="1" applyAlignment="1">
      <alignment horizontal="left" vertical="center" wrapText="1" indent="1"/>
    </xf>
    <xf numFmtId="164" fontId="15" fillId="0" borderId="4" xfId="6" applyNumberFormat="1" applyFont="1" applyBorder="1" applyAlignment="1">
      <alignment horizontal="left" vertical="center" wrapText="1" indent="1"/>
    </xf>
    <xf numFmtId="164" fontId="15" fillId="0" borderId="7" xfId="6" applyNumberFormat="1" applyFont="1" applyBorder="1" applyAlignment="1">
      <alignment horizontal="left" vertical="center" wrapText="1" indent="1"/>
    </xf>
    <xf numFmtId="0" fontId="12" fillId="12" borderId="2" xfId="0" applyFont="1" applyFill="1" applyBorder="1" applyAlignment="1">
      <alignment horizontal="left" vertical="center" wrapText="1" indent="1"/>
    </xf>
    <xf numFmtId="0" fontId="12" fillId="0" borderId="3" xfId="0" applyFont="1" applyFill="1" applyBorder="1" applyAlignment="1">
      <alignment horizontal="center" vertical="center" wrapText="1"/>
    </xf>
  </cellXfs>
  <cellStyles count="8"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Название" xfId="1" builtinId="15" customBuiltin="1"/>
    <cellStyle name="Обычный" xfId="0" builtinId="0" customBuiltin="1"/>
    <cellStyle name="Рік" xfId="7" xr:uid="{00000000-0005-0000-0000-000006000000}"/>
    <cellStyle name="Текст нотаток" xfId="6" xr:uid="{00000000-0005-0000-0000-000007000000}"/>
  </cellStyles>
  <dxfs count="77"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ION_colors">
  <a:themeElements>
    <a:clrScheme name="ION">
      <a:dk1>
        <a:sysClr val="windowText" lastClr="000000"/>
      </a:dk1>
      <a:lt1>
        <a:sysClr val="window" lastClr="FFFFFF"/>
      </a:lt1>
      <a:dk2>
        <a:srgbClr val="2A5155"/>
      </a:dk2>
      <a:lt2>
        <a:srgbClr val="EBEBEB"/>
      </a:lt2>
      <a:accent1>
        <a:srgbClr val="B01513"/>
      </a:accent1>
      <a:accent2>
        <a:srgbClr val="EA6312"/>
      </a:accent2>
      <a:accent3>
        <a:srgbClr val="E6B729"/>
      </a:accent3>
      <a:accent4>
        <a:srgbClr val="6AAC90"/>
      </a:accent4>
      <a:accent5>
        <a:srgbClr val="5F9C9D"/>
      </a:accent5>
      <a:accent6>
        <a:srgbClr val="9E5E9B"/>
      </a:accent6>
      <a:hlink>
        <a:srgbClr val="5F9C9D"/>
      </a:hlink>
      <a:folHlink>
        <a:srgbClr val="9E5E9B"/>
      </a:folHlink>
    </a:clrScheme>
    <a:fontScheme name="ION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Clarity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86000"/>
                <a:satMod val="140000"/>
              </a:schemeClr>
            </a:gs>
            <a:gs pos="45000">
              <a:schemeClr val="phClr">
                <a:tint val="48000"/>
                <a:satMod val="150000"/>
              </a:schemeClr>
            </a:gs>
            <a:gs pos="100000">
              <a:schemeClr val="phClr">
                <a:tint val="28000"/>
                <a:satMod val="16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shade val="70000"/>
                <a:satMod val="150000"/>
              </a:schemeClr>
            </a:gs>
            <a:gs pos="34000">
              <a:schemeClr val="phClr">
                <a:shade val="70000"/>
                <a:satMod val="140000"/>
              </a:schemeClr>
            </a:gs>
            <a:gs pos="70000">
              <a:schemeClr val="phClr">
                <a:tint val="100000"/>
                <a:shade val="90000"/>
                <a:satMod val="140000"/>
              </a:schemeClr>
            </a:gs>
            <a:gs pos="100000">
              <a:schemeClr val="phClr">
                <a:tint val="100000"/>
                <a:shade val="100000"/>
                <a:sat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26425" cap="flat" cmpd="sng" algn="ctr">
          <a:solidFill>
            <a:schemeClr val="phClr"/>
          </a:solidFill>
          <a:prstDash val="solid"/>
        </a:ln>
        <a:ln w="444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5100000"/>
            </a:lightRig>
          </a:scene3d>
          <a:sp3d contourW="6350">
            <a:bevelT w="29210" h="12700"/>
            <a:contourClr>
              <a:schemeClr val="phClr">
                <a:shade val="30000"/>
                <a:satMod val="13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79998168889431442"/>
    <pageSetUpPr autoPageBreaks="0" fitToPage="1"/>
  </sheetPr>
  <dimension ref="A1:P15"/>
  <sheetViews>
    <sheetView showGridLines="0" zoomScaleNormal="100" workbookViewId="0">
      <selection activeCell="I14" sqref="I14:L15"/>
    </sheetView>
  </sheetViews>
  <sheetFormatPr defaultColWidth="10" defaultRowHeight="12.5" x14ac:dyDescent="0.25"/>
  <cols>
    <col min="1" max="1" width="2.54296875" style="1" customWidth="1"/>
    <col min="2" max="2" width="5.453125" style="1" customWidth="1"/>
    <col min="3" max="3" width="10.26953125" style="1" customWidth="1"/>
    <col min="4" max="4" width="5.453125" style="1" customWidth="1"/>
    <col min="5" max="5" width="3.7265625" style="1" customWidth="1"/>
    <col min="6" max="12" width="18.453125" customWidth="1"/>
    <col min="13" max="13" width="2.7265625" customWidth="1"/>
    <col min="14" max="14" width="28.453125" bestFit="1" customWidth="1"/>
    <col min="15" max="15" width="12.26953125" customWidth="1"/>
    <col min="16" max="16" width="3.26953125" customWidth="1"/>
    <col min="17" max="17" width="10" customWidth="1"/>
  </cols>
  <sheetData>
    <row r="1" spans="1:16" ht="15" customHeight="1" x14ac:dyDescent="0.25">
      <c r="B1" s="9"/>
      <c r="C1" s="23">
        <f>КалендарРік</f>
        <v>2026</v>
      </c>
      <c r="D1" s="9"/>
    </row>
    <row r="2" spans="1:16" s="3" customFormat="1" ht="35.25" customHeight="1" x14ac:dyDescent="0.3">
      <c r="A2" s="2"/>
      <c r="B2" s="10"/>
      <c r="C2" s="23"/>
      <c r="D2" s="10"/>
      <c r="E2" s="2"/>
      <c r="F2" s="40" t="str">
        <f>UPPER(TEXT(ПочатокТижня,"ddd"))</f>
        <v>ПН</v>
      </c>
      <c r="G2" s="40" t="str">
        <f t="shared" ref="G2:L2" si="0">UPPER(TEXT(G3,"ddd"))</f>
        <v>ВТ</v>
      </c>
      <c r="H2" s="40" t="str">
        <f t="shared" si="0"/>
        <v>СР</v>
      </c>
      <c r="I2" s="40" t="str">
        <f t="shared" si="0"/>
        <v>ЧТ</v>
      </c>
      <c r="J2" s="40" t="str">
        <f t="shared" si="0"/>
        <v>ПТ</v>
      </c>
      <c r="K2" s="40" t="str">
        <f t="shared" si="0"/>
        <v>СБ</v>
      </c>
      <c r="L2" s="40" t="str">
        <f t="shared" si="0"/>
        <v>НД</v>
      </c>
      <c r="N2" s="22" t="s">
        <v>0</v>
      </c>
      <c r="O2" s="22"/>
      <c r="P2" s="22"/>
    </row>
    <row r="3" spans="1:16" s="5" customFormat="1" ht="19.5" customHeight="1" x14ac:dyDescent="0.3">
      <c r="A3" s="4"/>
      <c r="B3" s="11"/>
      <c r="C3" s="23"/>
      <c r="D3" s="11"/>
      <c r="E3" s="4"/>
      <c r="F3" s="35">
        <f t="array" ref="F3:L3">ДніТаТижні+DATE(КалендарРік,1,1)-WEEKDAY(DATE(КалендарРік,1,1),(ПочатокТижня="ПН")+1)+1</f>
        <v>46020</v>
      </c>
      <c r="G3" s="35">
        <v>46021</v>
      </c>
      <c r="H3" s="35">
        <v>46022</v>
      </c>
      <c r="I3" s="35">
        <v>46023</v>
      </c>
      <c r="J3" s="35">
        <v>46024</v>
      </c>
      <c r="K3" s="35">
        <v>46025</v>
      </c>
      <c r="L3" s="41">
        <v>46026</v>
      </c>
      <c r="N3" s="12" t="s">
        <v>1</v>
      </c>
      <c r="O3" s="6">
        <v>2026</v>
      </c>
    </row>
    <row r="4" spans="1:16" s="5" customFormat="1" ht="19.5" customHeight="1" x14ac:dyDescent="0.25">
      <c r="A4" s="4"/>
      <c r="B4" s="11"/>
      <c r="C4" s="23"/>
      <c r="D4" s="11"/>
      <c r="E4" s="4"/>
      <c r="F4" s="24"/>
      <c r="G4" s="24"/>
      <c r="H4" s="24"/>
      <c r="I4" s="28" t="s">
        <v>7</v>
      </c>
      <c r="J4" s="30" t="s">
        <v>8</v>
      </c>
      <c r="K4" s="42"/>
      <c r="L4" s="43"/>
      <c r="N4" s="13" t="s">
        <v>2</v>
      </c>
      <c r="O4" s="7" t="s">
        <v>3</v>
      </c>
    </row>
    <row r="5" spans="1:16" ht="55.5" customHeight="1" x14ac:dyDescent="0.25">
      <c r="B5" s="32" t="str">
        <f>UPPER(TEXT(F6,"mmmm"))</f>
        <v>СІЧЕНЬ</v>
      </c>
      <c r="C5" s="32"/>
      <c r="D5" s="32"/>
      <c r="F5" s="25"/>
      <c r="G5" s="25"/>
      <c r="H5" s="25"/>
      <c r="I5" s="29"/>
      <c r="J5" s="31"/>
      <c r="K5" s="44"/>
      <c r="L5" s="45"/>
    </row>
    <row r="6" spans="1:16" s="5" customFormat="1" ht="19.5" customHeight="1" x14ac:dyDescent="0.3">
      <c r="A6" s="4"/>
      <c r="B6" s="17"/>
      <c r="C6" s="17"/>
      <c r="D6" s="17"/>
      <c r="E6" s="4"/>
      <c r="F6" s="35">
        <f t="array" ref="F6:L6">ДніТаТижні+DATE(КалендарРік,1,1)-WEEKDAY(DATE(КалендарРік,1,1),(ПочатокТижня="ПН")+1)+8</f>
        <v>46027</v>
      </c>
      <c r="G6" s="35">
        <v>46028</v>
      </c>
      <c r="H6" s="35">
        <v>46029</v>
      </c>
      <c r="I6" s="35">
        <v>46030</v>
      </c>
      <c r="J6" s="35">
        <v>46031</v>
      </c>
      <c r="K6" s="35">
        <v>46032</v>
      </c>
      <c r="L6" s="41">
        <v>46033</v>
      </c>
      <c r="P6"/>
    </row>
    <row r="7" spans="1:16" ht="75" customHeight="1" x14ac:dyDescent="0.25">
      <c r="B7" s="17"/>
      <c r="C7" s="17"/>
      <c r="D7" s="17"/>
      <c r="F7" s="36" t="s">
        <v>5</v>
      </c>
      <c r="G7" s="37" t="s">
        <v>6</v>
      </c>
      <c r="H7" s="37" t="s">
        <v>6</v>
      </c>
      <c r="I7" s="38" t="s">
        <v>7</v>
      </c>
      <c r="J7" s="39" t="s">
        <v>8</v>
      </c>
      <c r="K7" s="46"/>
      <c r="L7" s="47"/>
      <c r="N7" s="14"/>
      <c r="O7" s="8"/>
    </row>
    <row r="8" spans="1:16" s="5" customFormat="1" ht="19.5" customHeight="1" x14ac:dyDescent="0.3">
      <c r="A8" s="4"/>
      <c r="B8" s="17"/>
      <c r="C8" s="17"/>
      <c r="D8" s="17"/>
      <c r="E8" s="4"/>
      <c r="F8" s="35">
        <f t="array" ref="F8:L8">ДніТаТижні+DATE(КалендарРік,1,1)-WEEKDAY(DATE(КалендарРік,1,1),(ПочатокТижня="ПН")+1)+15</f>
        <v>46034</v>
      </c>
      <c r="G8" s="35">
        <v>46035</v>
      </c>
      <c r="H8" s="35">
        <v>46036</v>
      </c>
      <c r="I8" s="35">
        <v>46037</v>
      </c>
      <c r="J8" s="35">
        <v>46038</v>
      </c>
      <c r="K8" s="35">
        <v>46039</v>
      </c>
      <c r="L8" s="41">
        <v>46040</v>
      </c>
      <c r="N8"/>
      <c r="O8" s="8"/>
    </row>
    <row r="9" spans="1:16" ht="75" customHeight="1" x14ac:dyDescent="0.25">
      <c r="B9" s="17"/>
      <c r="C9" s="17"/>
      <c r="D9" s="17"/>
      <c r="F9" s="36" t="s">
        <v>5</v>
      </c>
      <c r="G9" s="37" t="s">
        <v>6</v>
      </c>
      <c r="H9" s="37" t="s">
        <v>6</v>
      </c>
      <c r="I9" s="38" t="s">
        <v>7</v>
      </c>
      <c r="J9" s="39" t="s">
        <v>8</v>
      </c>
      <c r="K9" s="46"/>
      <c r="L9" s="47"/>
    </row>
    <row r="10" spans="1:16" s="5" customFormat="1" ht="19.5" customHeight="1" x14ac:dyDescent="0.3">
      <c r="A10" s="4"/>
      <c r="B10" s="17"/>
      <c r="C10" s="17"/>
      <c r="D10" s="17"/>
      <c r="E10" s="4"/>
      <c r="F10" s="35">
        <f t="array" ref="F10:L10">ДніТаТижні+DATE(КалендарРік,1,1)-WEEKDAY(DATE(КалендарРік,1,1),(ПочатокТижня="ПН")+1)+22</f>
        <v>46041</v>
      </c>
      <c r="G10" s="35">
        <v>46042</v>
      </c>
      <c r="H10" s="35">
        <v>46043</v>
      </c>
      <c r="I10" s="35">
        <v>46044</v>
      </c>
      <c r="J10" s="35">
        <v>46045</v>
      </c>
      <c r="K10" s="35">
        <v>46046</v>
      </c>
      <c r="L10" s="41">
        <v>46047</v>
      </c>
    </row>
    <row r="11" spans="1:16" ht="75" customHeight="1" x14ac:dyDescent="0.25">
      <c r="B11" s="17"/>
      <c r="C11" s="17"/>
      <c r="D11" s="17"/>
      <c r="F11" s="36" t="s">
        <v>5</v>
      </c>
      <c r="G11" s="37" t="s">
        <v>6</v>
      </c>
      <c r="H11" s="37" t="s">
        <v>6</v>
      </c>
      <c r="I11" s="38" t="s">
        <v>7</v>
      </c>
      <c r="J11" s="39" t="s">
        <v>8</v>
      </c>
      <c r="K11" s="46"/>
      <c r="L11" s="47"/>
    </row>
    <row r="12" spans="1:16" s="5" customFormat="1" ht="19.5" customHeight="1" x14ac:dyDescent="0.3">
      <c r="A12" s="4"/>
      <c r="B12" s="17"/>
      <c r="C12" s="17"/>
      <c r="D12" s="17"/>
      <c r="E12" s="4"/>
      <c r="F12" s="35">
        <f t="array" ref="F12:L12">ДніТаТижні+DATE(КалендарРік,1,1)-WEEKDAY(DATE(КалендарРік,1,1),(ПочатокТижня="ПН")+1)+29</f>
        <v>46048</v>
      </c>
      <c r="G12" s="35">
        <v>46049</v>
      </c>
      <c r="H12" s="35">
        <v>46050</v>
      </c>
      <c r="I12" s="35">
        <v>46051</v>
      </c>
      <c r="J12" s="35">
        <v>46052</v>
      </c>
      <c r="K12" s="35">
        <v>46053</v>
      </c>
      <c r="L12" s="35">
        <v>46054</v>
      </c>
    </row>
    <row r="13" spans="1:16" ht="75" customHeight="1" x14ac:dyDescent="0.25">
      <c r="B13" s="17"/>
      <c r="C13" s="17"/>
      <c r="D13" s="17"/>
      <c r="F13" s="36" t="s">
        <v>5</v>
      </c>
      <c r="G13" s="37" t="s">
        <v>6</v>
      </c>
      <c r="H13" s="37" t="s">
        <v>6</v>
      </c>
      <c r="I13" s="38" t="s">
        <v>7</v>
      </c>
      <c r="J13" s="39" t="s">
        <v>8</v>
      </c>
      <c r="K13" s="46"/>
      <c r="L13" s="47"/>
    </row>
    <row r="14" spans="1:16" s="5" customFormat="1" ht="19.5" customHeight="1" x14ac:dyDescent="0.3">
      <c r="A14" s="4"/>
      <c r="B14" s="17"/>
      <c r="C14" s="17"/>
      <c r="D14" s="17"/>
      <c r="E14" s="4"/>
      <c r="F14" s="35">
        <f t="array" ref="F14:G14">ДніТаТижні+DATE(КалендарРік,1,1)-WEEKDAY(DATE(КалендарРік,1,1),(ПочатокТижня="ПН")+1)+36</f>
        <v>46055</v>
      </c>
      <c r="G14" s="35">
        <v>46056</v>
      </c>
      <c r="H14" s="49" t="s">
        <v>4</v>
      </c>
      <c r="I14" s="18"/>
      <c r="J14" s="18"/>
      <c r="K14" s="18"/>
      <c r="L14" s="19"/>
    </row>
    <row r="15" spans="1:16" ht="75" customHeight="1" x14ac:dyDescent="0.25">
      <c r="B15" s="9"/>
      <c r="C15" s="9"/>
      <c r="D15" s="9"/>
      <c r="F15" s="48"/>
      <c r="G15" s="50"/>
      <c r="H15" s="51"/>
      <c r="I15" s="20"/>
      <c r="J15" s="20"/>
      <c r="K15" s="20"/>
      <c r="L15" s="21"/>
    </row>
  </sheetData>
  <mergeCells count="13">
    <mergeCell ref="B6:D14"/>
    <mergeCell ref="H14:H15"/>
    <mergeCell ref="I14:L15"/>
    <mergeCell ref="N2:P2"/>
    <mergeCell ref="C1:C4"/>
    <mergeCell ref="K4:K5"/>
    <mergeCell ref="L4:L5"/>
    <mergeCell ref="F4:F5"/>
    <mergeCell ref="G4:G5"/>
    <mergeCell ref="H4:H5"/>
    <mergeCell ref="I4:I5"/>
    <mergeCell ref="J4:J5"/>
    <mergeCell ref="B5:D5"/>
  </mergeCells>
  <conditionalFormatting sqref="F3:F6 F8 F10 F12 F14">
    <cfRule type="expression" dxfId="76" priority="8">
      <formula>F$2="НД"</formula>
    </cfRule>
  </conditionalFormatting>
  <conditionalFormatting sqref="F3:K4">
    <cfRule type="expression" dxfId="75" priority="9">
      <formula>DAY(F3)&gt;8</formula>
    </cfRule>
  </conditionalFormatting>
  <conditionalFormatting sqref="F12:L12 F14:G14">
    <cfRule type="expression" dxfId="74" priority="10">
      <formula>AND(DAY(F12)&gt;=1,DAY(F12)&lt;=15)</formula>
    </cfRule>
  </conditionalFormatting>
  <conditionalFormatting sqref="K3:L4 K6:L13">
    <cfRule type="expression" dxfId="73" priority="7">
      <formula>K$2="СБ"</formula>
    </cfRule>
  </conditionalFormatting>
  <conditionalFormatting sqref="L3:L4 L6:L13">
    <cfRule type="expression" dxfId="72" priority="6">
      <formula>$L$2="НД"</formula>
    </cfRule>
  </conditionalFormatting>
  <conditionalFormatting sqref="F7">
    <cfRule type="expression" dxfId="71" priority="5">
      <formula>F$2="НД"</formula>
    </cfRule>
  </conditionalFormatting>
  <conditionalFormatting sqref="F9">
    <cfRule type="expression" dxfId="70" priority="4">
      <formula>F$2="НД"</formula>
    </cfRule>
  </conditionalFormatting>
  <conditionalFormatting sqref="F11">
    <cfRule type="expression" dxfId="69" priority="3">
      <formula>F$2="НД"</formula>
    </cfRule>
  </conditionalFormatting>
  <conditionalFormatting sqref="F13">
    <cfRule type="expression" dxfId="68" priority="2">
      <formula>F$2="НД"</formula>
    </cfRule>
  </conditionalFormatting>
  <conditionalFormatting sqref="F15">
    <cfRule type="expression" dxfId="67" priority="1">
      <formula>F$2="НД"</formula>
    </cfRule>
  </conditionalFormatting>
  <dataValidations count="1">
    <dataValidation type="list" allowBlank="1" showInputMessage="1" showErrorMessage="1" errorTitle="Щось не так." error="Для правильного відображення календаря в цій клітинці потрібно вказати &quot;НД&quot; або &quot;ПН&quot;." sqref="O4" xr:uid="{00000000-0002-0000-0000-000000000000}">
      <formula1>"НД, ПН"</formula1>
    </dataValidation>
  </dataValidations>
  <printOptions horizontalCentered="1" verticalCentered="1"/>
  <pageMargins left="0.25" right="0.25" top="0.5" bottom="0.5" header="0.3" footer="0.3"/>
  <pageSetup paperSize="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3" tint="0.39997558519241921"/>
    <pageSetUpPr autoPageBreaks="0" fitToPage="1"/>
  </sheetPr>
  <dimension ref="A1:L15"/>
  <sheetViews>
    <sheetView showGridLines="0" zoomScaleNormal="100" workbookViewId="0">
      <selection activeCell="F1" sqref="F1:L1048576"/>
    </sheetView>
  </sheetViews>
  <sheetFormatPr defaultColWidth="10" defaultRowHeight="13" x14ac:dyDescent="0.25"/>
  <cols>
    <col min="1" max="1" width="2.54296875" style="1" customWidth="1"/>
    <col min="2" max="2" width="5.453125" style="1" customWidth="1"/>
    <col min="3" max="3" width="10.26953125" style="1" customWidth="1"/>
    <col min="4" max="4" width="5.453125" style="1" customWidth="1"/>
    <col min="5" max="5" width="3.7265625" style="1" customWidth="1"/>
    <col min="6" max="12" width="18.453125" style="46" customWidth="1"/>
    <col min="13" max="13" width="2.7265625" customWidth="1"/>
    <col min="14" max="14" width="10" customWidth="1"/>
  </cols>
  <sheetData>
    <row r="1" spans="1:12" ht="15" customHeight="1" x14ac:dyDescent="0.25">
      <c r="B1" s="9"/>
      <c r="C1" s="23">
        <f>КалендарРік</f>
        <v>2026</v>
      </c>
      <c r="D1" s="9"/>
    </row>
    <row r="2" spans="1:12" s="3" customFormat="1" ht="35.25" customHeight="1" x14ac:dyDescent="0.3">
      <c r="A2" s="2"/>
      <c r="B2" s="10"/>
      <c r="C2" s="23"/>
      <c r="D2" s="10"/>
      <c r="E2" s="2"/>
      <c r="F2" s="40" t="str">
        <f>UPPER(TEXT(ПочатокТижня,"ddd"))</f>
        <v>ПН</v>
      </c>
      <c r="G2" s="40" t="str">
        <f t="shared" ref="G2:L2" si="0">UPPER(TEXT(G3,"ddd"))</f>
        <v>ВТ</v>
      </c>
      <c r="H2" s="40" t="str">
        <f t="shared" si="0"/>
        <v>СР</v>
      </c>
      <c r="I2" s="40" t="str">
        <f t="shared" si="0"/>
        <v>ЧТ</v>
      </c>
      <c r="J2" s="40" t="str">
        <f t="shared" si="0"/>
        <v>ПТ</v>
      </c>
      <c r="K2" s="40" t="str">
        <f t="shared" si="0"/>
        <v>СБ</v>
      </c>
      <c r="L2" s="40" t="str">
        <f t="shared" si="0"/>
        <v>НД</v>
      </c>
    </row>
    <row r="3" spans="1:12" s="5" customFormat="1" ht="19.5" customHeight="1" x14ac:dyDescent="0.3">
      <c r="A3" s="4"/>
      <c r="B3" s="11"/>
      <c r="C3" s="23"/>
      <c r="D3" s="11"/>
      <c r="E3" s="4"/>
      <c r="F3" s="35">
        <f t="array" ref="F3:L3">ДніТаТижні+DATE(КалендарРік,9,1)-WEEKDAY(DATE(КалендарРік,9,1),(ПочатокТижня="ПН")+1)+1</f>
        <v>46265</v>
      </c>
      <c r="G3" s="35">
        <v>46266</v>
      </c>
      <c r="H3" s="35">
        <v>46267</v>
      </c>
      <c r="I3" s="35">
        <v>46268</v>
      </c>
      <c r="J3" s="35">
        <v>46269</v>
      </c>
      <c r="K3" s="35">
        <v>46270</v>
      </c>
      <c r="L3" s="41">
        <v>46271</v>
      </c>
    </row>
    <row r="4" spans="1:12" s="5" customFormat="1" ht="19.5" customHeight="1" x14ac:dyDescent="0.25">
      <c r="A4" s="4"/>
      <c r="B4" s="11"/>
      <c r="C4" s="23"/>
      <c r="D4" s="11"/>
      <c r="E4" s="4"/>
      <c r="F4" s="24"/>
      <c r="G4" s="26" t="s">
        <v>6</v>
      </c>
      <c r="H4" s="26" t="s">
        <v>6</v>
      </c>
      <c r="I4" s="28" t="s">
        <v>7</v>
      </c>
      <c r="J4" s="30" t="s">
        <v>8</v>
      </c>
      <c r="K4" s="42"/>
      <c r="L4" s="43"/>
    </row>
    <row r="5" spans="1:12" ht="55.5" customHeight="1" x14ac:dyDescent="0.25">
      <c r="B5" s="32" t="str">
        <f>UPPER(TEXT(F6,"mmmm"))</f>
        <v>ВЕРЕСЕНЬ</v>
      </c>
      <c r="C5" s="32"/>
      <c r="D5" s="32"/>
      <c r="F5" s="25"/>
      <c r="G5" s="27"/>
      <c r="H5" s="27"/>
      <c r="I5" s="29"/>
      <c r="J5" s="31"/>
      <c r="K5" s="44"/>
      <c r="L5" s="45"/>
    </row>
    <row r="6" spans="1:12" s="5" customFormat="1" ht="19.5" customHeight="1" x14ac:dyDescent="0.3">
      <c r="A6" s="4"/>
      <c r="B6" s="17"/>
      <c r="C6" s="17"/>
      <c r="D6" s="17"/>
      <c r="E6" s="4"/>
      <c r="F6" s="35">
        <f t="array" ref="F6:L6">ДніТаТижні+DATE(КалендарРік,9,1)-WEEKDAY(DATE(КалендарРік,9,1),(ПочатокТижня="ПН")+1)+8</f>
        <v>46272</v>
      </c>
      <c r="G6" s="35">
        <v>46273</v>
      </c>
      <c r="H6" s="35">
        <v>46274</v>
      </c>
      <c r="I6" s="35">
        <v>46275</v>
      </c>
      <c r="J6" s="35">
        <v>46276</v>
      </c>
      <c r="K6" s="35">
        <v>46277</v>
      </c>
      <c r="L6" s="41">
        <v>46278</v>
      </c>
    </row>
    <row r="7" spans="1:12" ht="75" customHeight="1" x14ac:dyDescent="0.25">
      <c r="B7" s="17"/>
      <c r="C7" s="17"/>
      <c r="D7" s="17"/>
      <c r="F7" s="36" t="s">
        <v>5</v>
      </c>
      <c r="G7" s="37" t="s">
        <v>6</v>
      </c>
      <c r="H7" s="37" t="s">
        <v>6</v>
      </c>
      <c r="I7" s="38" t="s">
        <v>7</v>
      </c>
      <c r="J7" s="39" t="s">
        <v>8</v>
      </c>
      <c r="L7" s="47"/>
    </row>
    <row r="8" spans="1:12" s="5" customFormat="1" ht="19.5" customHeight="1" x14ac:dyDescent="0.3">
      <c r="A8" s="4"/>
      <c r="B8" s="17"/>
      <c r="C8" s="17"/>
      <c r="D8" s="17"/>
      <c r="E8" s="4"/>
      <c r="F8" s="35">
        <f t="array" ref="F8:L8">ДніТаТижні+DATE(КалендарРік,9,1)-WEEKDAY(DATE(КалендарРік,9,1),(ПочатокТижня="ПН")+1)+15</f>
        <v>46279</v>
      </c>
      <c r="G8" s="35">
        <v>46280</v>
      </c>
      <c r="H8" s="35">
        <v>46281</v>
      </c>
      <c r="I8" s="35">
        <v>46282</v>
      </c>
      <c r="J8" s="35">
        <v>46283</v>
      </c>
      <c r="K8" s="35">
        <v>46284</v>
      </c>
      <c r="L8" s="41">
        <v>46285</v>
      </c>
    </row>
    <row r="9" spans="1:12" ht="75" customHeight="1" x14ac:dyDescent="0.25">
      <c r="B9" s="17"/>
      <c r="C9" s="17"/>
      <c r="D9" s="17"/>
      <c r="F9" s="36" t="s">
        <v>5</v>
      </c>
      <c r="G9" s="37" t="s">
        <v>6</v>
      </c>
      <c r="H9" s="37" t="s">
        <v>6</v>
      </c>
      <c r="I9" s="38" t="s">
        <v>7</v>
      </c>
      <c r="J9" s="39" t="s">
        <v>8</v>
      </c>
      <c r="L9" s="47"/>
    </row>
    <row r="10" spans="1:12" s="5" customFormat="1" ht="19.5" customHeight="1" x14ac:dyDescent="0.3">
      <c r="A10" s="4"/>
      <c r="B10" s="17"/>
      <c r="C10" s="17"/>
      <c r="D10" s="17"/>
      <c r="E10" s="4"/>
      <c r="F10" s="35">
        <f t="array" ref="F10:L10">ДніТаТижні+DATE(КалендарРік,9,1)-WEEKDAY(DATE(КалендарРік,9,1),(ПочатокТижня="ПН")+1)+22</f>
        <v>46286</v>
      </c>
      <c r="G10" s="35">
        <v>46287</v>
      </c>
      <c r="H10" s="35">
        <v>46288</v>
      </c>
      <c r="I10" s="35">
        <v>46289</v>
      </c>
      <c r="J10" s="35">
        <v>46290</v>
      </c>
      <c r="K10" s="35">
        <v>46291</v>
      </c>
      <c r="L10" s="41">
        <v>46292</v>
      </c>
    </row>
    <row r="11" spans="1:12" ht="75" customHeight="1" x14ac:dyDescent="0.25">
      <c r="B11" s="17"/>
      <c r="C11" s="17"/>
      <c r="D11" s="17"/>
      <c r="F11" s="36" t="s">
        <v>5</v>
      </c>
      <c r="G11" s="37" t="s">
        <v>6</v>
      </c>
      <c r="H11" s="37" t="s">
        <v>6</v>
      </c>
      <c r="I11" s="38" t="s">
        <v>7</v>
      </c>
      <c r="J11" s="39" t="s">
        <v>8</v>
      </c>
      <c r="L11" s="47"/>
    </row>
    <row r="12" spans="1:12" s="5" customFormat="1" ht="19.5" customHeight="1" x14ac:dyDescent="0.3">
      <c r="A12" s="4"/>
      <c r="B12" s="17"/>
      <c r="C12" s="17"/>
      <c r="D12" s="17"/>
      <c r="E12" s="4"/>
      <c r="F12" s="35">
        <f t="array" ref="F12:L12">ДніТаТижні+DATE(КалендарРік,9,1)-WEEKDAY(DATE(КалендарРік,9,1),(ПочатокТижня="ПН")+1)+29</f>
        <v>46293</v>
      </c>
      <c r="G12" s="35">
        <v>46294</v>
      </c>
      <c r="H12" s="35">
        <v>46295</v>
      </c>
      <c r="I12" s="35">
        <v>46296</v>
      </c>
      <c r="J12" s="35">
        <v>46297</v>
      </c>
      <c r="K12" s="35">
        <v>46298</v>
      </c>
      <c r="L12" s="35">
        <v>46299</v>
      </c>
    </row>
    <row r="13" spans="1:12" ht="75" customHeight="1" x14ac:dyDescent="0.25">
      <c r="B13" s="17"/>
      <c r="C13" s="17"/>
      <c r="D13" s="17"/>
      <c r="F13" s="36" t="s">
        <v>5</v>
      </c>
      <c r="G13" s="37" t="s">
        <v>6</v>
      </c>
      <c r="H13" s="37" t="s">
        <v>6</v>
      </c>
      <c r="I13" s="48"/>
      <c r="J13" s="69"/>
      <c r="L13" s="47"/>
    </row>
    <row r="14" spans="1:12" s="5" customFormat="1" ht="19.5" customHeight="1" x14ac:dyDescent="0.3">
      <c r="A14" s="4"/>
      <c r="B14" s="17"/>
      <c r="C14" s="17"/>
      <c r="D14" s="17"/>
      <c r="E14" s="4"/>
      <c r="F14" s="35">
        <f t="array" ref="F14:G14">ДніТаТижні+DATE(КалендарРік,9,1)-WEEKDAY(DATE(КалендарРік,9,1),(ПочатокТижня="ПН")+1)+36</f>
        <v>46300</v>
      </c>
      <c r="G14" s="35">
        <v>46301</v>
      </c>
      <c r="H14" s="77" t="s">
        <v>4</v>
      </c>
      <c r="I14" s="52"/>
      <c r="J14" s="52"/>
      <c r="K14" s="52"/>
      <c r="L14" s="53"/>
    </row>
    <row r="15" spans="1:12" ht="75" customHeight="1" x14ac:dyDescent="0.25">
      <c r="B15" s="9"/>
      <c r="C15" s="9"/>
      <c r="D15" s="9"/>
      <c r="F15" s="76"/>
      <c r="G15" s="69"/>
      <c r="H15" s="78"/>
      <c r="I15" s="54"/>
      <c r="J15" s="54"/>
      <c r="K15" s="54"/>
      <c r="L15" s="55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3:F15">
    <cfRule type="expression" dxfId="22" priority="4">
      <formula>F$2="НД"</formula>
    </cfRule>
  </conditionalFormatting>
  <conditionalFormatting sqref="F3:K3 F4:G4 I4:K4">
    <cfRule type="expression" dxfId="21" priority="5">
      <formula>DAY(F3)&gt;8</formula>
    </cfRule>
  </conditionalFormatting>
  <conditionalFormatting sqref="F12:L12 F14:G14">
    <cfRule type="expression" dxfId="20" priority="6">
      <formula>AND(DAY(F12)&gt;=1,DAY(F12)&lt;=15)</formula>
    </cfRule>
  </conditionalFormatting>
  <conditionalFormatting sqref="K3:L4 K6:L13">
    <cfRule type="expression" dxfId="19" priority="3">
      <formula>K$2="СБ"</formula>
    </cfRule>
  </conditionalFormatting>
  <conditionalFormatting sqref="L3:L4 L6:L13">
    <cfRule type="expression" dxfId="18" priority="2">
      <formula>$L$2="НД"</formula>
    </cfRule>
  </conditionalFormatting>
  <conditionalFormatting sqref="H4">
    <cfRule type="expression" dxfId="17" priority="1">
      <formula>DAY(H4)&gt;8</formula>
    </cfRule>
  </conditionalFormatting>
  <printOptions horizontalCentered="1" verticalCentered="1"/>
  <pageMargins left="0.25" right="0.25" top="0.5" bottom="0.5" header="0.3" footer="0.3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"/>
  <sheetViews>
    <sheetView workbookViewId="0">
      <selection activeCell="H5" sqref="H5"/>
    </sheetView>
  </sheetViews>
  <sheetFormatPr defaultRowHeight="12.5" x14ac:dyDescent="0.2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3"/>
    <pageSetUpPr autoPageBreaks="0" fitToPage="1"/>
  </sheetPr>
  <dimension ref="A1:L15"/>
  <sheetViews>
    <sheetView showGridLines="0" zoomScaleNormal="100" workbookViewId="0">
      <selection activeCell="F1" sqref="F1:L1048576"/>
    </sheetView>
  </sheetViews>
  <sheetFormatPr defaultColWidth="10" defaultRowHeight="13" x14ac:dyDescent="0.25"/>
  <cols>
    <col min="1" max="1" width="2.54296875" style="1" customWidth="1"/>
    <col min="2" max="2" width="5.453125" style="1" customWidth="1"/>
    <col min="3" max="3" width="10.26953125" style="1" customWidth="1"/>
    <col min="4" max="4" width="5.453125" style="1" customWidth="1"/>
    <col min="5" max="5" width="3.7265625" style="1" customWidth="1"/>
    <col min="6" max="12" width="18.453125" style="46" customWidth="1"/>
    <col min="13" max="13" width="2.7265625" customWidth="1"/>
    <col min="14" max="14" width="10" customWidth="1"/>
  </cols>
  <sheetData>
    <row r="1" spans="1:12" ht="15" customHeight="1" x14ac:dyDescent="0.25">
      <c r="B1" s="9"/>
      <c r="C1" s="23">
        <f>КалендарРік</f>
        <v>2026</v>
      </c>
      <c r="D1" s="9"/>
    </row>
    <row r="2" spans="1:12" s="3" customFormat="1" ht="35.25" customHeight="1" x14ac:dyDescent="0.3">
      <c r="A2" s="2"/>
      <c r="B2" s="10"/>
      <c r="C2" s="23"/>
      <c r="D2" s="10"/>
      <c r="E2" s="2"/>
      <c r="F2" s="40" t="str">
        <f>UPPER(TEXT(ПочатокТижня,"ddd"))</f>
        <v>ПН</v>
      </c>
      <c r="G2" s="40" t="str">
        <f t="shared" ref="G2:L2" si="0">UPPER(TEXT(G3,"ddd"))</f>
        <v>ВТ</v>
      </c>
      <c r="H2" s="40" t="str">
        <f t="shared" si="0"/>
        <v>СР</v>
      </c>
      <c r="I2" s="40" t="str">
        <f t="shared" si="0"/>
        <v>ЧТ</v>
      </c>
      <c r="J2" s="40" t="str">
        <f t="shared" si="0"/>
        <v>ПТ</v>
      </c>
      <c r="K2" s="40" t="str">
        <f t="shared" si="0"/>
        <v>СБ</v>
      </c>
      <c r="L2" s="40" t="str">
        <f t="shared" si="0"/>
        <v>НД</v>
      </c>
    </row>
    <row r="3" spans="1:12" s="5" customFormat="1" ht="19.5" customHeight="1" x14ac:dyDescent="0.3">
      <c r="A3" s="4"/>
      <c r="B3" s="11"/>
      <c r="C3" s="23"/>
      <c r="D3" s="11"/>
      <c r="E3" s="4"/>
      <c r="F3" s="35">
        <f t="array" ref="F3:L3">ДніТаТижні+DATE(КалендарРік,10,1)-WEEKDAY(DATE(КалендарРік,10,1),(ПочатокТижня="ПН")+1)+1</f>
        <v>46293</v>
      </c>
      <c r="G3" s="35">
        <v>46294</v>
      </c>
      <c r="H3" s="35">
        <v>46295</v>
      </c>
      <c r="I3" s="35">
        <v>46296</v>
      </c>
      <c r="J3" s="35">
        <v>46297</v>
      </c>
      <c r="K3" s="35">
        <v>46298</v>
      </c>
      <c r="L3" s="41">
        <v>46299</v>
      </c>
    </row>
    <row r="4" spans="1:12" s="5" customFormat="1" ht="19.5" customHeight="1" x14ac:dyDescent="0.25">
      <c r="A4" s="4"/>
      <c r="B4" s="11"/>
      <c r="C4" s="23"/>
      <c r="D4" s="11"/>
      <c r="E4" s="4"/>
      <c r="F4" s="24"/>
      <c r="G4" s="59"/>
      <c r="H4" s="59"/>
      <c r="I4" s="28" t="s">
        <v>7</v>
      </c>
      <c r="J4" s="60" t="s">
        <v>8</v>
      </c>
      <c r="K4" s="42"/>
      <c r="L4" s="43"/>
    </row>
    <row r="5" spans="1:12" ht="55.5" customHeight="1" x14ac:dyDescent="0.25">
      <c r="B5" s="32" t="str">
        <f>UPPER(TEXT(F6,"mmmm"))</f>
        <v>ЖОВТЕНЬ</v>
      </c>
      <c r="C5" s="32"/>
      <c r="D5" s="32"/>
      <c r="F5" s="25"/>
      <c r="G5" s="61"/>
      <c r="H5" s="61"/>
      <c r="I5" s="29"/>
      <c r="J5" s="62"/>
      <c r="K5" s="44"/>
      <c r="L5" s="45"/>
    </row>
    <row r="6" spans="1:12" s="5" customFormat="1" ht="19.5" customHeight="1" x14ac:dyDescent="0.3">
      <c r="A6" s="4"/>
      <c r="B6" s="17"/>
      <c r="C6" s="17"/>
      <c r="D6" s="17"/>
      <c r="E6" s="4"/>
      <c r="F6" s="35">
        <f t="array" ref="F6:L6">ДніТаТижні+DATE(КалендарРік,10,1)-WEEKDAY(DATE(КалендарРік,10,1),(ПочатокТижня="ПН")+1)+8</f>
        <v>46300</v>
      </c>
      <c r="G6" s="35">
        <v>46301</v>
      </c>
      <c r="H6" s="35">
        <v>46302</v>
      </c>
      <c r="I6" s="35">
        <v>46303</v>
      </c>
      <c r="J6" s="35">
        <v>46304</v>
      </c>
      <c r="K6" s="35">
        <v>46305</v>
      </c>
      <c r="L6" s="41">
        <v>46306</v>
      </c>
    </row>
    <row r="7" spans="1:12" ht="75" customHeight="1" x14ac:dyDescent="0.25">
      <c r="B7" s="17"/>
      <c r="C7" s="17"/>
      <c r="D7" s="17"/>
      <c r="F7" s="36" t="s">
        <v>5</v>
      </c>
      <c r="G7" s="37" t="s">
        <v>6</v>
      </c>
      <c r="H7" s="37" t="s">
        <v>6</v>
      </c>
      <c r="I7" s="38" t="s">
        <v>7</v>
      </c>
      <c r="J7" s="39" t="s">
        <v>8</v>
      </c>
      <c r="L7" s="47"/>
    </row>
    <row r="8" spans="1:12" s="5" customFormat="1" ht="19.5" customHeight="1" x14ac:dyDescent="0.3">
      <c r="A8" s="4"/>
      <c r="B8" s="17"/>
      <c r="C8" s="17"/>
      <c r="D8" s="17"/>
      <c r="E8" s="4"/>
      <c r="F8" s="35">
        <f t="array" ref="F8:L8">ДніТаТижні+DATE(КалендарРік,10,1)-WEEKDAY(DATE(КалендарРік,10,1),(ПочатокТижня="ПН")+1)+15</f>
        <v>46307</v>
      </c>
      <c r="G8" s="35">
        <v>46308</v>
      </c>
      <c r="H8" s="35">
        <v>46309</v>
      </c>
      <c r="I8" s="35">
        <v>46310</v>
      </c>
      <c r="J8" s="35">
        <v>46311</v>
      </c>
      <c r="K8" s="35">
        <v>46312</v>
      </c>
      <c r="L8" s="41">
        <v>46313</v>
      </c>
    </row>
    <row r="9" spans="1:12" ht="75" customHeight="1" x14ac:dyDescent="0.25">
      <c r="B9" s="17"/>
      <c r="C9" s="17"/>
      <c r="D9" s="17"/>
      <c r="F9" s="36" t="s">
        <v>5</v>
      </c>
      <c r="G9" s="37" t="s">
        <v>6</v>
      </c>
      <c r="H9" s="37" t="s">
        <v>6</v>
      </c>
      <c r="I9" s="38" t="s">
        <v>7</v>
      </c>
      <c r="J9" s="39" t="s">
        <v>8</v>
      </c>
      <c r="L9" s="47"/>
    </row>
    <row r="10" spans="1:12" s="5" customFormat="1" ht="19.5" customHeight="1" x14ac:dyDescent="0.3">
      <c r="A10" s="4"/>
      <c r="B10" s="17"/>
      <c r="C10" s="17"/>
      <c r="D10" s="17"/>
      <c r="E10" s="4"/>
      <c r="F10" s="35">
        <f t="array" ref="F10:L10">ДніТаТижні+DATE(КалендарРік,10,1)-WEEKDAY(DATE(КалендарРік,10,1),(ПочатокТижня="ПН")+1)+22</f>
        <v>46314</v>
      </c>
      <c r="G10" s="35">
        <v>46315</v>
      </c>
      <c r="H10" s="35">
        <v>46316</v>
      </c>
      <c r="I10" s="35">
        <v>46317</v>
      </c>
      <c r="J10" s="35">
        <v>46318</v>
      </c>
      <c r="K10" s="35">
        <v>46319</v>
      </c>
      <c r="L10" s="41">
        <v>46320</v>
      </c>
    </row>
    <row r="11" spans="1:12" ht="75" customHeight="1" x14ac:dyDescent="0.25">
      <c r="B11" s="17"/>
      <c r="C11" s="17"/>
      <c r="D11" s="17"/>
      <c r="F11" s="36" t="s">
        <v>5</v>
      </c>
      <c r="G11" s="37" t="s">
        <v>6</v>
      </c>
      <c r="H11" s="37" t="s">
        <v>6</v>
      </c>
      <c r="I11" s="38" t="s">
        <v>7</v>
      </c>
      <c r="J11" s="39" t="s">
        <v>8</v>
      </c>
      <c r="L11" s="47"/>
    </row>
    <row r="12" spans="1:12" s="5" customFormat="1" ht="19.5" customHeight="1" x14ac:dyDescent="0.3">
      <c r="A12" s="4"/>
      <c r="B12" s="17"/>
      <c r="C12" s="17"/>
      <c r="D12" s="17"/>
      <c r="E12" s="4"/>
      <c r="F12" s="35">
        <f t="array" ref="F12:L12">ДніТаТижні+DATE(КалендарРік,10,1)-WEEKDAY(DATE(КалендарРік,10,1),(ПочатокТижня="ПН")+1)+29</f>
        <v>46321</v>
      </c>
      <c r="G12" s="35">
        <v>46322</v>
      </c>
      <c r="H12" s="35">
        <v>46323</v>
      </c>
      <c r="I12" s="35">
        <v>46324</v>
      </c>
      <c r="J12" s="35">
        <v>46325</v>
      </c>
      <c r="K12" s="35">
        <v>46326</v>
      </c>
      <c r="L12" s="35">
        <v>46327</v>
      </c>
    </row>
    <row r="13" spans="1:12" ht="75" customHeight="1" x14ac:dyDescent="0.25">
      <c r="B13" s="17"/>
      <c r="C13" s="17"/>
      <c r="D13" s="17"/>
      <c r="F13" s="36" t="s">
        <v>5</v>
      </c>
      <c r="G13" s="37" t="s">
        <v>6</v>
      </c>
      <c r="H13" s="37" t="s">
        <v>6</v>
      </c>
      <c r="I13" s="38" t="s">
        <v>7</v>
      </c>
      <c r="J13" s="39" t="s">
        <v>8</v>
      </c>
      <c r="L13" s="47"/>
    </row>
    <row r="14" spans="1:12" s="5" customFormat="1" ht="19.5" customHeight="1" x14ac:dyDescent="0.3">
      <c r="A14" s="4"/>
      <c r="B14" s="17"/>
      <c r="C14" s="17"/>
      <c r="D14" s="17"/>
      <c r="E14" s="4"/>
      <c r="F14" s="35">
        <f t="array" ref="F14:G14">ДніТаТижні+DATE(КалендарРік,10,1)-WEEKDAY(DATE(КалендарРік,10,1),(ПочатокТижня="ПН")+1)+36</f>
        <v>46328</v>
      </c>
      <c r="G14" s="35">
        <v>46329</v>
      </c>
      <c r="H14" s="77" t="s">
        <v>4</v>
      </c>
      <c r="I14" s="52"/>
      <c r="J14" s="52"/>
      <c r="K14" s="52"/>
      <c r="L14" s="53"/>
    </row>
    <row r="15" spans="1:12" ht="75" customHeight="1" x14ac:dyDescent="0.25">
      <c r="B15" s="9"/>
      <c r="C15" s="9"/>
      <c r="D15" s="9"/>
      <c r="F15" s="48"/>
      <c r="G15" s="69"/>
      <c r="H15" s="78"/>
      <c r="I15" s="54"/>
      <c r="J15" s="54"/>
      <c r="K15" s="54"/>
      <c r="L15" s="55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3:F15">
    <cfRule type="expression" dxfId="16" priority="3">
      <formula>F$2="НД"</formula>
    </cfRule>
  </conditionalFormatting>
  <conditionalFormatting sqref="F3:K4">
    <cfRule type="expression" dxfId="15" priority="4">
      <formula>DAY(F3)&gt;8</formula>
    </cfRule>
  </conditionalFormatting>
  <conditionalFormatting sqref="F12:L12 F14:G14">
    <cfRule type="expression" dxfId="14" priority="5">
      <formula>AND(DAY(F12)&gt;=1,DAY(F12)&lt;=15)</formula>
    </cfRule>
  </conditionalFormatting>
  <conditionalFormatting sqref="K3:L4 K6:L13">
    <cfRule type="expression" dxfId="13" priority="2">
      <formula>K$2="СБ"</formula>
    </cfRule>
  </conditionalFormatting>
  <conditionalFormatting sqref="L3:L4 L6:L13">
    <cfRule type="expression" dxfId="12" priority="1">
      <formula>$L$2="НД"</formula>
    </cfRule>
  </conditionalFormatting>
  <printOptions horizontalCentered="1" verticalCentered="1"/>
  <pageMargins left="0.25" right="0.25" top="0.5" bottom="0.5" header="0.3" footer="0.3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3" tint="-0.249977111117893"/>
    <pageSetUpPr autoPageBreaks="0" fitToPage="1"/>
  </sheetPr>
  <dimension ref="A1:L15"/>
  <sheetViews>
    <sheetView showGridLines="0" topLeftCell="D1" zoomScaleNormal="100" workbookViewId="0">
      <selection activeCell="F1" sqref="F1:L1048576"/>
    </sheetView>
  </sheetViews>
  <sheetFormatPr defaultColWidth="10" defaultRowHeight="13" x14ac:dyDescent="0.25"/>
  <cols>
    <col min="1" max="1" width="2.54296875" style="1" customWidth="1"/>
    <col min="2" max="2" width="5.453125" style="1" customWidth="1"/>
    <col min="3" max="3" width="10.26953125" style="1" customWidth="1"/>
    <col min="4" max="4" width="5.453125" style="1" customWidth="1"/>
    <col min="5" max="5" width="3.7265625" style="1" customWidth="1"/>
    <col min="6" max="12" width="18.453125" style="46" customWidth="1"/>
    <col min="13" max="13" width="2.7265625" customWidth="1"/>
    <col min="14" max="14" width="10" customWidth="1"/>
  </cols>
  <sheetData>
    <row r="1" spans="1:12" ht="15" customHeight="1" x14ac:dyDescent="0.25">
      <c r="B1" s="9"/>
      <c r="C1" s="23">
        <f>КалендарРік</f>
        <v>2026</v>
      </c>
      <c r="D1" s="9"/>
    </row>
    <row r="2" spans="1:12" s="3" customFormat="1" ht="35.25" customHeight="1" x14ac:dyDescent="0.3">
      <c r="A2" s="2"/>
      <c r="B2" s="10"/>
      <c r="C2" s="23"/>
      <c r="D2" s="10"/>
      <c r="E2" s="2"/>
      <c r="F2" s="40" t="str">
        <f>UPPER(TEXT(ПочатокТижня,"ddd"))</f>
        <v>ПН</v>
      </c>
      <c r="G2" s="40" t="str">
        <f t="shared" ref="G2:L2" si="0">UPPER(TEXT(G3,"ddd"))</f>
        <v>ВТ</v>
      </c>
      <c r="H2" s="40" t="str">
        <f t="shared" si="0"/>
        <v>СР</v>
      </c>
      <c r="I2" s="40" t="str">
        <f t="shared" si="0"/>
        <v>ЧТ</v>
      </c>
      <c r="J2" s="40" t="str">
        <f t="shared" si="0"/>
        <v>ПТ</v>
      </c>
      <c r="K2" s="40" t="str">
        <f t="shared" si="0"/>
        <v>СБ</v>
      </c>
      <c r="L2" s="40" t="str">
        <f t="shared" si="0"/>
        <v>НД</v>
      </c>
    </row>
    <row r="3" spans="1:12" s="5" customFormat="1" ht="19.5" customHeight="1" x14ac:dyDescent="0.3">
      <c r="A3" s="4"/>
      <c r="B3" s="11"/>
      <c r="C3" s="23"/>
      <c r="D3" s="11"/>
      <c r="E3" s="4"/>
      <c r="F3" s="35">
        <f t="array" ref="F3:L3">ДніТаТижні+DATE(КалендарРік,11,1)-WEEKDAY(DATE(КалендарРік,11,1),(ПочатокТижня="ПН")+1)+1</f>
        <v>46321</v>
      </c>
      <c r="G3" s="35">
        <v>46322</v>
      </c>
      <c r="H3" s="35">
        <v>46323</v>
      </c>
      <c r="I3" s="35">
        <v>46324</v>
      </c>
      <c r="J3" s="35">
        <v>46325</v>
      </c>
      <c r="K3" s="35">
        <v>46326</v>
      </c>
      <c r="L3" s="41">
        <v>46327</v>
      </c>
    </row>
    <row r="4" spans="1:12" s="5" customFormat="1" ht="19.5" customHeight="1" x14ac:dyDescent="0.25">
      <c r="A4" s="4"/>
      <c r="B4" s="11"/>
      <c r="C4" s="23"/>
      <c r="D4" s="11"/>
      <c r="E4" s="4"/>
      <c r="F4" s="42"/>
      <c r="G4" s="42"/>
      <c r="H4" s="24"/>
      <c r="I4" s="24"/>
      <c r="J4" s="24"/>
      <c r="K4" s="42"/>
      <c r="L4" s="43"/>
    </row>
    <row r="5" spans="1:12" ht="55.5" customHeight="1" x14ac:dyDescent="0.25">
      <c r="B5" s="32" t="str">
        <f>UPPER(TEXT(F6,"mmmm"))</f>
        <v>ЛИСТОПАД</v>
      </c>
      <c r="C5" s="32"/>
      <c r="D5" s="32"/>
      <c r="F5" s="44"/>
      <c r="G5" s="44"/>
      <c r="H5" s="25"/>
      <c r="I5" s="25"/>
      <c r="J5" s="25"/>
      <c r="K5" s="44"/>
      <c r="L5" s="45"/>
    </row>
    <row r="6" spans="1:12" s="5" customFormat="1" ht="19.5" customHeight="1" x14ac:dyDescent="0.3">
      <c r="A6" s="4"/>
      <c r="B6" s="17"/>
      <c r="C6" s="17"/>
      <c r="D6" s="17"/>
      <c r="E6" s="4"/>
      <c r="F6" s="35">
        <f t="array" ref="F6:L6">ДніТаТижні+DATE(КалендарРік,11,1)-WEEKDAY(DATE(КалендарРік,11,1),(ПочатокТижня="ПН")+1)+8</f>
        <v>46328</v>
      </c>
      <c r="G6" s="35">
        <v>46329</v>
      </c>
      <c r="H6" s="35">
        <v>46330</v>
      </c>
      <c r="I6" s="35">
        <v>46331</v>
      </c>
      <c r="J6" s="35">
        <v>46332</v>
      </c>
      <c r="K6" s="35">
        <v>46333</v>
      </c>
      <c r="L6" s="41">
        <v>46334</v>
      </c>
    </row>
    <row r="7" spans="1:12" ht="75" customHeight="1" x14ac:dyDescent="0.25">
      <c r="B7" s="17"/>
      <c r="C7" s="17"/>
      <c r="D7" s="17"/>
      <c r="F7" s="36" t="s">
        <v>5</v>
      </c>
      <c r="G7" s="37" t="s">
        <v>6</v>
      </c>
      <c r="H7" s="37" t="s">
        <v>6</v>
      </c>
      <c r="I7" s="38" t="s">
        <v>7</v>
      </c>
      <c r="J7" s="39" t="s">
        <v>8</v>
      </c>
      <c r="L7" s="47"/>
    </row>
    <row r="8" spans="1:12" s="5" customFormat="1" ht="19.5" customHeight="1" x14ac:dyDescent="0.3">
      <c r="A8" s="4"/>
      <c r="B8" s="17"/>
      <c r="C8" s="17"/>
      <c r="D8" s="17"/>
      <c r="E8" s="4"/>
      <c r="F8" s="35">
        <f t="array" ref="F8:L8">ДніТаТижні+DATE(КалендарРік,11,1)-WEEKDAY(DATE(КалендарРік,11,1),(ПочатокТижня="ПН")+1)+15</f>
        <v>46335</v>
      </c>
      <c r="G8" s="35">
        <v>46336</v>
      </c>
      <c r="H8" s="35">
        <v>46337</v>
      </c>
      <c r="I8" s="35">
        <v>46338</v>
      </c>
      <c r="J8" s="35">
        <v>46339</v>
      </c>
      <c r="K8" s="35">
        <v>46340</v>
      </c>
      <c r="L8" s="41">
        <v>46341</v>
      </c>
    </row>
    <row r="9" spans="1:12" ht="75" customHeight="1" x14ac:dyDescent="0.25">
      <c r="B9" s="17"/>
      <c r="C9" s="17"/>
      <c r="D9" s="17"/>
      <c r="F9" s="36" t="s">
        <v>5</v>
      </c>
      <c r="G9" s="37" t="s">
        <v>6</v>
      </c>
      <c r="H9" s="37" t="s">
        <v>6</v>
      </c>
      <c r="I9" s="38" t="s">
        <v>7</v>
      </c>
      <c r="J9" s="39" t="s">
        <v>8</v>
      </c>
      <c r="L9" s="47"/>
    </row>
    <row r="10" spans="1:12" s="5" customFormat="1" ht="19.5" customHeight="1" x14ac:dyDescent="0.3">
      <c r="A10" s="4"/>
      <c r="B10" s="17"/>
      <c r="C10" s="17"/>
      <c r="D10" s="17"/>
      <c r="E10" s="4"/>
      <c r="F10" s="35">
        <f t="array" ref="F10:L10">ДніТаТижні+DATE(КалендарРік,11,1)-WEEKDAY(DATE(КалендарРік,11,1),(ПочатокТижня="ПН")+1)+22</f>
        <v>46342</v>
      </c>
      <c r="G10" s="35">
        <v>46343</v>
      </c>
      <c r="H10" s="35">
        <v>46344</v>
      </c>
      <c r="I10" s="35">
        <v>46345</v>
      </c>
      <c r="J10" s="35">
        <v>46346</v>
      </c>
      <c r="K10" s="35">
        <v>46347</v>
      </c>
      <c r="L10" s="41">
        <v>46348</v>
      </c>
    </row>
    <row r="11" spans="1:12" ht="75" customHeight="1" x14ac:dyDescent="0.25">
      <c r="B11" s="17"/>
      <c r="C11" s="17"/>
      <c r="D11" s="17"/>
      <c r="F11" s="36" t="s">
        <v>5</v>
      </c>
      <c r="G11" s="37" t="s">
        <v>6</v>
      </c>
      <c r="H11" s="79" t="s">
        <v>6</v>
      </c>
      <c r="I11" s="38" t="s">
        <v>7</v>
      </c>
      <c r="J11" s="39" t="s">
        <v>8</v>
      </c>
      <c r="L11" s="47"/>
    </row>
    <row r="12" spans="1:12" s="5" customFormat="1" ht="19.5" customHeight="1" x14ac:dyDescent="0.3">
      <c r="A12" s="4"/>
      <c r="B12" s="17"/>
      <c r="C12" s="17"/>
      <c r="D12" s="17"/>
      <c r="E12" s="4"/>
      <c r="F12" s="35">
        <f t="array" ref="F12:L12">ДніТаТижні+DATE(КалендарРік,11,1)-WEEKDAY(DATE(КалендарРік,11,1),(ПочатокТижня="ПН")+1)+29</f>
        <v>46349</v>
      </c>
      <c r="G12" s="35">
        <v>46350</v>
      </c>
      <c r="H12" s="35">
        <v>46351</v>
      </c>
      <c r="I12" s="35">
        <v>46352</v>
      </c>
      <c r="J12" s="35">
        <v>46353</v>
      </c>
      <c r="K12" s="35">
        <v>46354</v>
      </c>
      <c r="L12" s="35">
        <v>46355</v>
      </c>
    </row>
    <row r="13" spans="1:12" ht="75" customHeight="1" x14ac:dyDescent="0.25">
      <c r="B13" s="17"/>
      <c r="C13" s="17"/>
      <c r="D13" s="17"/>
      <c r="F13" s="36" t="s">
        <v>5</v>
      </c>
      <c r="G13" s="37" t="s">
        <v>6</v>
      </c>
      <c r="H13" s="37" t="s">
        <v>6</v>
      </c>
      <c r="I13" s="38" t="s">
        <v>7</v>
      </c>
      <c r="J13" s="39" t="s">
        <v>8</v>
      </c>
      <c r="L13" s="47"/>
    </row>
    <row r="14" spans="1:12" s="5" customFormat="1" ht="19.5" customHeight="1" x14ac:dyDescent="0.3">
      <c r="A14" s="4"/>
      <c r="B14" s="17"/>
      <c r="C14" s="17"/>
      <c r="D14" s="17"/>
      <c r="E14" s="4"/>
      <c r="F14" s="35">
        <f t="array" ref="F14:G14">ДніТаТижні+DATE(КалендарРік,11,1)-WEEKDAY(DATE(КалендарРік,11,1),(ПочатокТижня="ПН")+1)+36</f>
        <v>46356</v>
      </c>
      <c r="G14" s="35">
        <v>46357</v>
      </c>
      <c r="H14" s="77" t="s">
        <v>4</v>
      </c>
      <c r="I14" s="52"/>
      <c r="J14" s="52"/>
      <c r="K14" s="52"/>
      <c r="L14" s="53"/>
    </row>
    <row r="15" spans="1:12" ht="75" customHeight="1" x14ac:dyDescent="0.25">
      <c r="B15" s="9"/>
      <c r="C15" s="9"/>
      <c r="D15" s="9"/>
      <c r="F15" s="36" t="s">
        <v>5</v>
      </c>
      <c r="G15" s="50"/>
      <c r="H15" s="78"/>
      <c r="I15" s="54"/>
      <c r="J15" s="54"/>
      <c r="K15" s="54"/>
      <c r="L15" s="55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3:F15">
    <cfRule type="expression" dxfId="11" priority="3">
      <formula>F$2="НД"</formula>
    </cfRule>
  </conditionalFormatting>
  <conditionalFormatting sqref="F3:K4">
    <cfRule type="expression" dxfId="10" priority="4">
      <formula>DAY(F3)&gt;8</formula>
    </cfRule>
  </conditionalFormatting>
  <conditionalFormatting sqref="F12:L12 F14:G14">
    <cfRule type="expression" dxfId="9" priority="5">
      <formula>AND(DAY(F12)&gt;=1,DAY(F12)&lt;=15)</formula>
    </cfRule>
  </conditionalFormatting>
  <conditionalFormatting sqref="K3:L4 K6:L13">
    <cfRule type="expression" dxfId="8" priority="2">
      <formula>K$2="СБ"</formula>
    </cfRule>
  </conditionalFormatting>
  <conditionalFormatting sqref="L3:L4 L6:L13">
    <cfRule type="expression" dxfId="7" priority="1">
      <formula>$L$2="НД"</formula>
    </cfRule>
  </conditionalFormatting>
  <printOptions horizontalCentered="1" verticalCentered="1"/>
  <pageMargins left="0.25" right="0.25" top="0.5" bottom="0.5" header="0.3" footer="0.3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3" tint="-0.499984740745262"/>
    <pageSetUpPr autoPageBreaks="0" fitToPage="1"/>
  </sheetPr>
  <dimension ref="A1:L15"/>
  <sheetViews>
    <sheetView showGridLines="0" tabSelected="1" zoomScaleNormal="100" workbookViewId="0">
      <selection activeCell="B5" sqref="B5:D5"/>
    </sheetView>
  </sheetViews>
  <sheetFormatPr defaultColWidth="10" defaultRowHeight="13" x14ac:dyDescent="0.25"/>
  <cols>
    <col min="1" max="1" width="2.54296875" style="1" customWidth="1"/>
    <col min="2" max="2" width="5.453125" style="1" customWidth="1"/>
    <col min="3" max="3" width="10.26953125" style="1" customWidth="1"/>
    <col min="4" max="4" width="5.453125" style="1" customWidth="1"/>
    <col min="5" max="5" width="3.7265625" style="1" customWidth="1"/>
    <col min="6" max="12" width="18.453125" style="46" customWidth="1"/>
    <col min="13" max="13" width="2.7265625" customWidth="1"/>
    <col min="14" max="14" width="10" customWidth="1"/>
  </cols>
  <sheetData>
    <row r="1" spans="1:12" ht="15" customHeight="1" x14ac:dyDescent="0.25">
      <c r="B1" s="9"/>
      <c r="C1" s="23">
        <f>КалендарРік</f>
        <v>2026</v>
      </c>
      <c r="D1" s="9"/>
    </row>
    <row r="2" spans="1:12" s="3" customFormat="1" ht="35.25" customHeight="1" x14ac:dyDescent="0.3">
      <c r="A2" s="2"/>
      <c r="B2" s="10"/>
      <c r="C2" s="23"/>
      <c r="D2" s="10"/>
      <c r="E2" s="2"/>
      <c r="F2" s="40" t="str">
        <f>UPPER(TEXT(ПочатокТижня,"ddd"))</f>
        <v>ПН</v>
      </c>
      <c r="G2" s="40" t="str">
        <f t="shared" ref="G2:L2" si="0">UPPER(TEXT(G3,"ddd"))</f>
        <v>ВТ</v>
      </c>
      <c r="H2" s="40" t="str">
        <f t="shared" si="0"/>
        <v>СР</v>
      </c>
      <c r="I2" s="40" t="str">
        <f t="shared" si="0"/>
        <v>ЧТ</v>
      </c>
      <c r="J2" s="40" t="str">
        <f t="shared" si="0"/>
        <v>ПТ</v>
      </c>
      <c r="K2" s="40" t="str">
        <f t="shared" si="0"/>
        <v>СБ</v>
      </c>
      <c r="L2" s="40" t="str">
        <f t="shared" si="0"/>
        <v>НД</v>
      </c>
    </row>
    <row r="3" spans="1:12" s="5" customFormat="1" ht="19.5" customHeight="1" x14ac:dyDescent="0.3">
      <c r="A3" s="4"/>
      <c r="B3" s="11"/>
      <c r="C3" s="23"/>
      <c r="D3" s="11"/>
      <c r="E3" s="4"/>
      <c r="F3" s="35">
        <f t="array" ref="F3:L3">ДніТаТижні+DATE(КалендарРік,12,1)-WEEKDAY(DATE(КалендарРік,12,1),(ПочатокТижня="ПН")+1)+1</f>
        <v>46356</v>
      </c>
      <c r="G3" s="35">
        <v>46357</v>
      </c>
      <c r="H3" s="35">
        <v>46358</v>
      </c>
      <c r="I3" s="35">
        <v>46359</v>
      </c>
      <c r="J3" s="35">
        <v>46360</v>
      </c>
      <c r="K3" s="35">
        <v>46361</v>
      </c>
      <c r="L3" s="41">
        <v>46362</v>
      </c>
    </row>
    <row r="4" spans="1:12" s="5" customFormat="1" ht="19.5" customHeight="1" x14ac:dyDescent="0.25">
      <c r="A4" s="4"/>
      <c r="B4" s="11"/>
      <c r="C4" s="23"/>
      <c r="D4" s="11"/>
      <c r="E4" s="4"/>
      <c r="F4" s="24"/>
      <c r="G4" s="26" t="s">
        <v>6</v>
      </c>
      <c r="H4" s="26" t="s">
        <v>6</v>
      </c>
      <c r="I4" s="28" t="s">
        <v>7</v>
      </c>
      <c r="J4" s="30" t="s">
        <v>8</v>
      </c>
      <c r="K4" s="42"/>
      <c r="L4" s="43"/>
    </row>
    <row r="5" spans="1:12" ht="55.5" customHeight="1" x14ac:dyDescent="0.25">
      <c r="B5" s="32" t="str">
        <f>UPPER(TEXT(F6,"mmmm"))</f>
        <v>ГРУДЕНЬ</v>
      </c>
      <c r="C5" s="32"/>
      <c r="D5" s="32"/>
      <c r="F5" s="25"/>
      <c r="G5" s="27"/>
      <c r="H5" s="27"/>
      <c r="I5" s="29"/>
      <c r="J5" s="31"/>
      <c r="K5" s="44"/>
      <c r="L5" s="45"/>
    </row>
    <row r="6" spans="1:12" s="5" customFormat="1" ht="19.5" customHeight="1" x14ac:dyDescent="0.3">
      <c r="A6" s="4"/>
      <c r="B6" s="17"/>
      <c r="C6" s="17"/>
      <c r="D6" s="17"/>
      <c r="E6" s="4"/>
      <c r="F6" s="35">
        <f t="array" ref="F6:L6">ДніТаТижні+DATE(КалендарРік,12,1)-WEEKDAY(DATE(КалендарРік,12,1),(ПочатокТижня="ПН")+1)+8</f>
        <v>46363</v>
      </c>
      <c r="G6" s="35">
        <v>46364</v>
      </c>
      <c r="H6" s="35">
        <v>46365</v>
      </c>
      <c r="I6" s="35">
        <v>46366</v>
      </c>
      <c r="J6" s="35">
        <v>46367</v>
      </c>
      <c r="K6" s="35">
        <v>46368</v>
      </c>
      <c r="L6" s="41">
        <v>46369</v>
      </c>
    </row>
    <row r="7" spans="1:12" ht="75" customHeight="1" x14ac:dyDescent="0.25">
      <c r="B7" s="17"/>
      <c r="C7" s="17"/>
      <c r="D7" s="17"/>
      <c r="F7" s="36" t="s">
        <v>5</v>
      </c>
      <c r="G7" s="37" t="s">
        <v>6</v>
      </c>
      <c r="H7" s="37" t="s">
        <v>6</v>
      </c>
      <c r="I7" s="38" t="s">
        <v>7</v>
      </c>
      <c r="J7" s="39" t="s">
        <v>8</v>
      </c>
      <c r="L7" s="47"/>
    </row>
    <row r="8" spans="1:12" s="5" customFormat="1" ht="19.5" customHeight="1" x14ac:dyDescent="0.3">
      <c r="A8" s="4"/>
      <c r="B8" s="17"/>
      <c r="C8" s="17"/>
      <c r="D8" s="17"/>
      <c r="E8" s="4"/>
      <c r="F8" s="35">
        <f t="array" ref="F8:L8">ДніТаТижні+DATE(КалендарРік,12,1)-WEEKDAY(DATE(КалендарРік,12,1),(ПочатокТижня="ПН")+1)+15</f>
        <v>46370</v>
      </c>
      <c r="G8" s="35">
        <v>46371</v>
      </c>
      <c r="H8" s="35">
        <v>46372</v>
      </c>
      <c r="I8" s="35">
        <v>46373</v>
      </c>
      <c r="J8" s="35">
        <v>46374</v>
      </c>
      <c r="K8" s="35">
        <v>46375</v>
      </c>
      <c r="L8" s="41">
        <v>46376</v>
      </c>
    </row>
    <row r="9" spans="1:12" ht="75" customHeight="1" x14ac:dyDescent="0.25">
      <c r="B9" s="17"/>
      <c r="C9" s="17"/>
      <c r="D9" s="17"/>
      <c r="F9" s="36" t="s">
        <v>5</v>
      </c>
      <c r="G9" s="37" t="s">
        <v>6</v>
      </c>
      <c r="H9" s="37" t="s">
        <v>6</v>
      </c>
      <c r="I9" s="38" t="s">
        <v>7</v>
      </c>
      <c r="J9" s="39" t="s">
        <v>8</v>
      </c>
      <c r="L9" s="47"/>
    </row>
    <row r="10" spans="1:12" s="5" customFormat="1" ht="19.5" customHeight="1" x14ac:dyDescent="0.3">
      <c r="A10" s="4"/>
      <c r="B10" s="17"/>
      <c r="C10" s="17"/>
      <c r="D10" s="17"/>
      <c r="E10" s="4"/>
      <c r="F10" s="35">
        <f t="array" ref="F10:L10">ДніТаТижні+DATE(КалендарРік,12,1)-WEEKDAY(DATE(КалендарРік,12,1),(ПочатокТижня="ПН")+1)+22</f>
        <v>46377</v>
      </c>
      <c r="G10" s="35">
        <v>46378</v>
      </c>
      <c r="H10" s="35">
        <v>46379</v>
      </c>
      <c r="I10" s="35">
        <v>46380</v>
      </c>
      <c r="J10" s="35">
        <v>46381</v>
      </c>
      <c r="K10" s="35">
        <v>46382</v>
      </c>
      <c r="L10" s="41">
        <v>46383</v>
      </c>
    </row>
    <row r="11" spans="1:12" ht="75" customHeight="1" x14ac:dyDescent="0.25">
      <c r="B11" s="17"/>
      <c r="C11" s="17"/>
      <c r="D11" s="17"/>
      <c r="F11" s="36" t="s">
        <v>5</v>
      </c>
      <c r="G11" s="37" t="s">
        <v>6</v>
      </c>
      <c r="H11" s="37" t="s">
        <v>6</v>
      </c>
      <c r="I11" s="38" t="s">
        <v>7</v>
      </c>
      <c r="J11" s="39" t="s">
        <v>8</v>
      </c>
      <c r="L11" s="47"/>
    </row>
    <row r="12" spans="1:12" s="5" customFormat="1" ht="19.5" customHeight="1" x14ac:dyDescent="0.3">
      <c r="A12" s="4"/>
      <c r="B12" s="17"/>
      <c r="C12" s="17"/>
      <c r="D12" s="17"/>
      <c r="E12" s="4"/>
      <c r="F12" s="35">
        <f t="array" ref="F12:L12">ДніТаТижні+DATE(КалендарРік,12,1)-WEEKDAY(DATE(КалендарРік,12,1),(ПочатокТижня="ПН")+1)+29</f>
        <v>46384</v>
      </c>
      <c r="G12" s="35">
        <v>46385</v>
      </c>
      <c r="H12" s="35">
        <v>46386</v>
      </c>
      <c r="I12" s="35">
        <v>46387</v>
      </c>
      <c r="J12" s="35">
        <v>46388</v>
      </c>
      <c r="K12" s="35">
        <v>46389</v>
      </c>
      <c r="L12" s="35">
        <v>46390</v>
      </c>
    </row>
    <row r="13" spans="1:12" ht="75" customHeight="1" x14ac:dyDescent="0.25">
      <c r="B13" s="17"/>
      <c r="C13" s="17"/>
      <c r="D13" s="17"/>
      <c r="F13" s="36" t="s">
        <v>5</v>
      </c>
      <c r="G13" s="37" t="s">
        <v>6</v>
      </c>
      <c r="H13" s="37" t="s">
        <v>6</v>
      </c>
      <c r="I13" s="38" t="s">
        <v>7</v>
      </c>
      <c r="J13" s="69"/>
      <c r="L13" s="47"/>
    </row>
    <row r="14" spans="1:12" s="5" customFormat="1" ht="19.5" customHeight="1" x14ac:dyDescent="0.3">
      <c r="A14" s="4"/>
      <c r="B14" s="17"/>
      <c r="C14" s="17"/>
      <c r="D14" s="17"/>
      <c r="E14" s="4"/>
      <c r="F14" s="35">
        <f t="array" ref="F14:G14">ДніТаТижні+DATE(КалендарРік,12,1)-WEEKDAY(DATE(КалендарРік,12,1),(ПочатокТижня="ПН")+1)+36</f>
        <v>46391</v>
      </c>
      <c r="G14" s="35">
        <v>46392</v>
      </c>
      <c r="H14" s="77" t="s">
        <v>4</v>
      </c>
      <c r="I14" s="52"/>
      <c r="J14" s="52"/>
      <c r="K14" s="52"/>
      <c r="L14" s="53"/>
    </row>
    <row r="15" spans="1:12" ht="75" customHeight="1" x14ac:dyDescent="0.25">
      <c r="B15" s="9"/>
      <c r="C15" s="9"/>
      <c r="D15" s="9"/>
      <c r="F15" s="76"/>
      <c r="G15" s="80"/>
      <c r="H15" s="78"/>
      <c r="I15" s="54"/>
      <c r="J15" s="54"/>
      <c r="K15" s="54"/>
      <c r="L15" s="55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3:F15">
    <cfRule type="expression" dxfId="6" priority="4">
      <formula>F$2="НД"</formula>
    </cfRule>
  </conditionalFormatting>
  <conditionalFormatting sqref="F3:K3 F4:G4 I4:K4">
    <cfRule type="expression" dxfId="5" priority="5">
      <formula>DAY(F3)&gt;8</formula>
    </cfRule>
  </conditionalFormatting>
  <conditionalFormatting sqref="F12:L12 F14:G14">
    <cfRule type="expression" dxfId="4" priority="6">
      <formula>AND(DAY(F12)&gt;=1,DAY(F12)&lt;=15)</formula>
    </cfRule>
  </conditionalFormatting>
  <conditionalFormatting sqref="K3:L4 K6:L13">
    <cfRule type="expression" dxfId="3" priority="3">
      <formula>K$2="СБ"</formula>
    </cfRule>
  </conditionalFormatting>
  <conditionalFormatting sqref="L3:L4 L6:L13">
    <cfRule type="expression" dxfId="2" priority="2">
      <formula>$L$2="НД"</formula>
    </cfRule>
  </conditionalFormatting>
  <conditionalFormatting sqref="H4">
    <cfRule type="expression" dxfId="1" priority="1">
      <formula>DAY(H4)&gt;8</formula>
    </cfRule>
  </conditionalFormatting>
  <printOptions horizontalCentered="1" verticalCentered="1"/>
  <pageMargins left="0.25" right="0.25" top="0.5" bottom="0.5" header="0.3" footer="0.3"/>
  <pageSetup paperSize="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59999389629810485"/>
    <pageSetUpPr autoPageBreaks="0" fitToPage="1"/>
  </sheetPr>
  <dimension ref="A1:L15"/>
  <sheetViews>
    <sheetView showGridLines="0" zoomScaleNormal="100" workbookViewId="0">
      <selection activeCell="F2" sqref="F2:L15"/>
    </sheetView>
  </sheetViews>
  <sheetFormatPr defaultColWidth="10" defaultRowHeight="12.5" x14ac:dyDescent="0.25"/>
  <cols>
    <col min="1" max="1" width="2.54296875" style="1" customWidth="1"/>
    <col min="2" max="2" width="5.453125" style="1" customWidth="1"/>
    <col min="3" max="3" width="10.26953125" style="1" customWidth="1"/>
    <col min="4" max="4" width="5.453125" style="1" customWidth="1"/>
    <col min="5" max="5" width="3.7265625" style="1" customWidth="1"/>
    <col min="6" max="12" width="18.453125" customWidth="1"/>
    <col min="13" max="13" width="2.7265625" customWidth="1"/>
    <col min="14" max="14" width="10" customWidth="1"/>
  </cols>
  <sheetData>
    <row r="1" spans="1:12" ht="15" customHeight="1" x14ac:dyDescent="0.25">
      <c r="B1" s="9"/>
      <c r="C1" s="23">
        <f>КалендарРік</f>
        <v>2026</v>
      </c>
      <c r="D1" s="9"/>
    </row>
    <row r="2" spans="1:12" s="3" customFormat="1" ht="35.25" customHeight="1" x14ac:dyDescent="0.3">
      <c r="A2" s="2"/>
      <c r="B2" s="10"/>
      <c r="C2" s="23"/>
      <c r="D2" s="10"/>
      <c r="E2" s="2"/>
      <c r="F2" s="40" t="str">
        <f>UPPER(TEXT(ПочатокТижня,"ddd"))</f>
        <v>ПН</v>
      </c>
      <c r="G2" s="40" t="str">
        <f t="shared" ref="G2:L2" si="0">UPPER(TEXT(G3,"ddd"))</f>
        <v>ВТ</v>
      </c>
      <c r="H2" s="40" t="str">
        <f t="shared" si="0"/>
        <v>СР</v>
      </c>
      <c r="I2" s="40" t="str">
        <f t="shared" si="0"/>
        <v>ЧТ</v>
      </c>
      <c r="J2" s="40" t="str">
        <f t="shared" si="0"/>
        <v>ПТ</v>
      </c>
      <c r="K2" s="40" t="str">
        <f t="shared" si="0"/>
        <v>СБ</v>
      </c>
      <c r="L2" s="40" t="str">
        <f t="shared" si="0"/>
        <v>НД</v>
      </c>
    </row>
    <row r="3" spans="1:12" s="5" customFormat="1" ht="19.5" customHeight="1" x14ac:dyDescent="0.3">
      <c r="A3" s="4"/>
      <c r="B3" s="11"/>
      <c r="C3" s="23"/>
      <c r="D3" s="11"/>
      <c r="E3" s="4"/>
      <c r="F3" s="35">
        <f t="array" ref="F3:L3">ДніТаТижні+DATE(КалендарРік,2,1)-WEEKDAY(DATE(КалендарРік,2,1),(ПочатокТижня="ПН")+1)+1</f>
        <v>46048</v>
      </c>
      <c r="G3" s="35">
        <v>46049</v>
      </c>
      <c r="H3" s="35">
        <v>46050</v>
      </c>
      <c r="I3" s="35">
        <v>46051</v>
      </c>
      <c r="J3" s="35">
        <v>46052</v>
      </c>
      <c r="K3" s="35">
        <v>46053</v>
      </c>
      <c r="L3" s="41">
        <v>46054</v>
      </c>
    </row>
    <row r="4" spans="1:12" s="5" customFormat="1" ht="19.5" customHeight="1" x14ac:dyDescent="0.25">
      <c r="A4" s="4"/>
      <c r="B4" s="11"/>
      <c r="C4" s="23"/>
      <c r="D4" s="11"/>
      <c r="E4" s="4"/>
      <c r="F4" s="42"/>
      <c r="G4" s="42"/>
      <c r="H4" s="42"/>
      <c r="I4" s="24"/>
      <c r="J4" s="24"/>
      <c r="K4" s="42"/>
      <c r="L4" s="43"/>
    </row>
    <row r="5" spans="1:12" ht="55.5" customHeight="1" x14ac:dyDescent="0.25">
      <c r="B5" s="32" t="str">
        <f>UPPER(TEXT(F6,"mmmm"))</f>
        <v>ЛЮТИЙ</v>
      </c>
      <c r="C5" s="32"/>
      <c r="D5" s="32"/>
      <c r="F5" s="44"/>
      <c r="G5" s="44"/>
      <c r="H5" s="44"/>
      <c r="I5" s="25"/>
      <c r="J5" s="25"/>
      <c r="K5" s="44"/>
      <c r="L5" s="45"/>
    </row>
    <row r="6" spans="1:12" s="5" customFormat="1" ht="19.5" customHeight="1" x14ac:dyDescent="0.3">
      <c r="A6" s="4"/>
      <c r="B6" s="17"/>
      <c r="C6" s="17"/>
      <c r="D6" s="17"/>
      <c r="E6" s="4"/>
      <c r="F6" s="35">
        <f t="array" ref="F6:L6">ДніТаТижні+DATE(КалендарРік,2,1)-WEEKDAY(DATE(КалендарРік,2,1),(ПочатокТижня="ПН")+1)+8</f>
        <v>46055</v>
      </c>
      <c r="G6" s="35">
        <v>46056</v>
      </c>
      <c r="H6" s="35">
        <v>46057</v>
      </c>
      <c r="I6" s="35">
        <v>46058</v>
      </c>
      <c r="J6" s="35">
        <v>46059</v>
      </c>
      <c r="K6" s="35">
        <v>46060</v>
      </c>
      <c r="L6" s="41">
        <v>46061</v>
      </c>
    </row>
    <row r="7" spans="1:12" ht="75" customHeight="1" x14ac:dyDescent="0.25">
      <c r="B7" s="17"/>
      <c r="C7" s="17"/>
      <c r="D7" s="17"/>
      <c r="F7" s="36" t="s">
        <v>5</v>
      </c>
      <c r="G7" s="37" t="s">
        <v>6</v>
      </c>
      <c r="H7" s="37" t="s">
        <v>6</v>
      </c>
      <c r="I7" s="38" t="s">
        <v>7</v>
      </c>
      <c r="J7" s="39" t="s">
        <v>8</v>
      </c>
      <c r="K7" s="46"/>
      <c r="L7" s="47"/>
    </row>
    <row r="8" spans="1:12" s="5" customFormat="1" ht="19.5" customHeight="1" x14ac:dyDescent="0.3">
      <c r="A8" s="4"/>
      <c r="B8" s="17"/>
      <c r="C8" s="17"/>
      <c r="D8" s="17"/>
      <c r="E8" s="4"/>
      <c r="F8" s="35">
        <f t="array" ref="F8:L8">ДніТаТижні+DATE(КалендарРік,2,1)-WEEKDAY(DATE(КалендарРік,2,1),(ПочатокТижня="ПН")+1)+15</f>
        <v>46062</v>
      </c>
      <c r="G8" s="35">
        <v>46063</v>
      </c>
      <c r="H8" s="35">
        <v>46064</v>
      </c>
      <c r="I8" s="35">
        <v>46065</v>
      </c>
      <c r="J8" s="35">
        <v>46066</v>
      </c>
      <c r="K8" s="35">
        <v>46067</v>
      </c>
      <c r="L8" s="41">
        <v>46068</v>
      </c>
    </row>
    <row r="9" spans="1:12" ht="75" customHeight="1" x14ac:dyDescent="0.25">
      <c r="B9" s="17"/>
      <c r="C9" s="17"/>
      <c r="D9" s="17"/>
      <c r="F9" s="36" t="s">
        <v>5</v>
      </c>
      <c r="G9" s="37" t="s">
        <v>6</v>
      </c>
      <c r="H9" s="37" t="s">
        <v>6</v>
      </c>
      <c r="I9" s="38" t="s">
        <v>7</v>
      </c>
      <c r="J9" s="39" t="s">
        <v>8</v>
      </c>
      <c r="K9" s="46"/>
      <c r="L9" s="47"/>
    </row>
    <row r="10" spans="1:12" s="5" customFormat="1" ht="19.5" customHeight="1" x14ac:dyDescent="0.3">
      <c r="A10" s="4"/>
      <c r="B10" s="17"/>
      <c r="C10" s="17"/>
      <c r="D10" s="17"/>
      <c r="E10" s="4"/>
      <c r="F10" s="35">
        <f t="array" ref="F10:L10">ДніТаТижні+DATE(КалендарРік,2,1)-WEEKDAY(DATE(КалендарРік,2,1),(ПочатокТижня="ПН")+1)+22</f>
        <v>46069</v>
      </c>
      <c r="G10" s="35">
        <v>46070</v>
      </c>
      <c r="H10" s="35">
        <v>46071</v>
      </c>
      <c r="I10" s="35">
        <v>46072</v>
      </c>
      <c r="J10" s="35">
        <v>46073</v>
      </c>
      <c r="K10" s="35">
        <v>46074</v>
      </c>
      <c r="L10" s="41">
        <v>46075</v>
      </c>
    </row>
    <row r="11" spans="1:12" ht="75" customHeight="1" x14ac:dyDescent="0.25">
      <c r="B11" s="17"/>
      <c r="C11" s="17"/>
      <c r="D11" s="17"/>
      <c r="F11" s="36" t="s">
        <v>5</v>
      </c>
      <c r="G11" s="37" t="s">
        <v>6</v>
      </c>
      <c r="H11" s="37" t="s">
        <v>6</v>
      </c>
      <c r="I11" s="38" t="s">
        <v>7</v>
      </c>
      <c r="J11" s="39" t="s">
        <v>8</v>
      </c>
      <c r="K11" s="46"/>
      <c r="L11" s="47"/>
    </row>
    <row r="12" spans="1:12" s="5" customFormat="1" ht="19.5" customHeight="1" x14ac:dyDescent="0.3">
      <c r="A12" s="4"/>
      <c r="B12" s="17"/>
      <c r="C12" s="17"/>
      <c r="D12" s="17"/>
      <c r="E12" s="4"/>
      <c r="F12" s="35">
        <f t="array" ref="F12:L12">ДніТаТижні+DATE(КалендарРік,2,1)-WEEKDAY(DATE(КалендарРік,2,1),(ПочатокТижня="ПН")+1)+29</f>
        <v>46076</v>
      </c>
      <c r="G12" s="35">
        <v>46077</v>
      </c>
      <c r="H12" s="35">
        <v>46078</v>
      </c>
      <c r="I12" s="35">
        <v>46079</v>
      </c>
      <c r="J12" s="35">
        <v>46080</v>
      </c>
      <c r="K12" s="35">
        <v>46081</v>
      </c>
      <c r="L12" s="35">
        <v>46082</v>
      </c>
    </row>
    <row r="13" spans="1:12" ht="75" customHeight="1" x14ac:dyDescent="0.25">
      <c r="B13" s="17"/>
      <c r="C13" s="17"/>
      <c r="D13" s="17"/>
      <c r="F13" s="36" t="s">
        <v>5</v>
      </c>
      <c r="G13" s="37" t="s">
        <v>6</v>
      </c>
      <c r="H13" s="37" t="s">
        <v>6</v>
      </c>
      <c r="I13" s="38" t="s">
        <v>7</v>
      </c>
      <c r="J13" s="39" t="s">
        <v>8</v>
      </c>
      <c r="K13" s="46"/>
      <c r="L13" s="47"/>
    </row>
    <row r="14" spans="1:12" s="5" customFormat="1" ht="19.5" customHeight="1" x14ac:dyDescent="0.3">
      <c r="A14" s="4"/>
      <c r="B14" s="17"/>
      <c r="C14" s="17"/>
      <c r="D14" s="17"/>
      <c r="E14" s="4"/>
      <c r="F14" s="35">
        <f t="array" ref="F14:G14">ДніТаТижні+DATE(КалендарРік,2,1)-WEEKDAY(DATE(КалендарРік,2,1),(ПочатокТижня="ПН")+1)+36</f>
        <v>46083</v>
      </c>
      <c r="G14" s="35">
        <v>46084</v>
      </c>
      <c r="H14" s="49" t="s">
        <v>4</v>
      </c>
      <c r="I14" s="52"/>
      <c r="J14" s="52"/>
      <c r="K14" s="52"/>
      <c r="L14" s="53"/>
    </row>
    <row r="15" spans="1:12" ht="75" customHeight="1" x14ac:dyDescent="0.25">
      <c r="B15" s="9"/>
      <c r="C15" s="9"/>
      <c r="D15" s="9"/>
      <c r="F15" s="50"/>
      <c r="G15" s="50"/>
      <c r="H15" s="51"/>
      <c r="I15" s="54"/>
      <c r="J15" s="54"/>
      <c r="K15" s="54"/>
      <c r="L15" s="55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3:F6 F8 F10 F12 F14:F15">
    <cfRule type="expression" dxfId="66" priority="7">
      <formula>F$2="НД"</formula>
    </cfRule>
  </conditionalFormatting>
  <conditionalFormatting sqref="F3:K4">
    <cfRule type="expression" dxfId="65" priority="8">
      <formula>DAY(F3)&gt;8</formula>
    </cfRule>
  </conditionalFormatting>
  <conditionalFormatting sqref="F12:L12 F14:G14">
    <cfRule type="expression" dxfId="64" priority="9">
      <formula>AND(DAY(F12)&gt;=1,DAY(F12)&lt;=15)</formula>
    </cfRule>
  </conditionalFormatting>
  <conditionalFormatting sqref="K3:L4 K6:L13">
    <cfRule type="expression" dxfId="63" priority="6">
      <formula>K$2="СБ"</formula>
    </cfRule>
  </conditionalFormatting>
  <conditionalFormatting sqref="L3:L4 L6:L13">
    <cfRule type="expression" dxfId="62" priority="5">
      <formula>$L$2="НД"</formula>
    </cfRule>
  </conditionalFormatting>
  <conditionalFormatting sqref="F7">
    <cfRule type="expression" dxfId="61" priority="4">
      <formula>F$2="НД"</formula>
    </cfRule>
  </conditionalFormatting>
  <conditionalFormatting sqref="F9">
    <cfRule type="expression" dxfId="60" priority="3">
      <formula>F$2="НД"</formula>
    </cfRule>
  </conditionalFormatting>
  <conditionalFormatting sqref="F11">
    <cfRule type="expression" dxfId="59" priority="2">
      <formula>F$2="НД"</formula>
    </cfRule>
  </conditionalFormatting>
  <conditionalFormatting sqref="F13">
    <cfRule type="expression" dxfId="58" priority="1">
      <formula>F$2="НД"</formula>
    </cfRule>
  </conditionalFormatting>
  <printOptions horizontalCentered="1" verticalCentered="1"/>
  <pageMargins left="0.25" right="0.25" top="0.5" bottom="0.5" header="0.3" footer="0.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0.39997558519241921"/>
    <pageSetUpPr autoPageBreaks="0" fitToPage="1"/>
  </sheetPr>
  <dimension ref="A1:L15"/>
  <sheetViews>
    <sheetView showGridLines="0" zoomScaleNormal="100" workbookViewId="0">
      <selection activeCell="F2" sqref="F2:L15"/>
    </sheetView>
  </sheetViews>
  <sheetFormatPr defaultColWidth="10" defaultRowHeight="12.5" x14ac:dyDescent="0.25"/>
  <cols>
    <col min="1" max="1" width="2.54296875" style="1" customWidth="1"/>
    <col min="2" max="2" width="5.453125" style="1" customWidth="1"/>
    <col min="3" max="3" width="10.26953125" style="1" customWidth="1"/>
    <col min="4" max="4" width="5.453125" style="1" customWidth="1"/>
    <col min="5" max="5" width="3.7265625" style="1" customWidth="1"/>
    <col min="6" max="12" width="18.453125" customWidth="1"/>
    <col min="13" max="13" width="2.7265625" customWidth="1"/>
    <col min="14" max="14" width="10" customWidth="1"/>
  </cols>
  <sheetData>
    <row r="1" spans="1:12" ht="15" customHeight="1" x14ac:dyDescent="0.25">
      <c r="B1" s="9"/>
      <c r="C1" s="23">
        <f>КалендарРік</f>
        <v>2026</v>
      </c>
      <c r="D1" s="9"/>
    </row>
    <row r="2" spans="1:12" s="3" customFormat="1" ht="35.25" customHeight="1" x14ac:dyDescent="0.3">
      <c r="A2" s="2"/>
      <c r="B2" s="10"/>
      <c r="C2" s="23"/>
      <c r="D2" s="10"/>
      <c r="E2" s="2"/>
      <c r="F2" s="40" t="str">
        <f>UPPER(TEXT(ПочатокТижня,"ddd"))</f>
        <v>ПН</v>
      </c>
      <c r="G2" s="40" t="str">
        <f t="shared" ref="G2:L2" si="0">UPPER(TEXT(G3,"ddd"))</f>
        <v>ВТ</v>
      </c>
      <c r="H2" s="40" t="str">
        <f t="shared" si="0"/>
        <v>СР</v>
      </c>
      <c r="I2" s="40" t="str">
        <f t="shared" si="0"/>
        <v>ЧТ</v>
      </c>
      <c r="J2" s="40" t="str">
        <f t="shared" si="0"/>
        <v>ПТ</v>
      </c>
      <c r="K2" s="40" t="str">
        <f t="shared" si="0"/>
        <v>СБ</v>
      </c>
      <c r="L2" s="40" t="str">
        <f t="shared" si="0"/>
        <v>НД</v>
      </c>
    </row>
    <row r="3" spans="1:12" s="5" customFormat="1" ht="19.5" customHeight="1" x14ac:dyDescent="0.3">
      <c r="A3" s="4"/>
      <c r="B3" s="11"/>
      <c r="C3" s="23"/>
      <c r="D3" s="11"/>
      <c r="E3" s="4"/>
      <c r="F3" s="35">
        <f t="array" ref="F3:L3">ДніТаТижні+DATE(КалендарРік,3,1)-WEEKDAY(DATE(КалендарРік,3,1),(ПочатокТижня="ПН")+1)+1</f>
        <v>46076</v>
      </c>
      <c r="G3" s="35">
        <v>46077</v>
      </c>
      <c r="H3" s="35">
        <v>46078</v>
      </c>
      <c r="I3" s="35">
        <v>46079</v>
      </c>
      <c r="J3" s="35">
        <v>46080</v>
      </c>
      <c r="K3" s="35">
        <v>46081</v>
      </c>
      <c r="L3" s="41">
        <v>46082</v>
      </c>
    </row>
    <row r="4" spans="1:12" s="5" customFormat="1" ht="19.5" customHeight="1" x14ac:dyDescent="0.25">
      <c r="A4" s="4"/>
      <c r="B4" s="11"/>
      <c r="C4" s="23"/>
      <c r="D4" s="11"/>
      <c r="E4" s="4"/>
      <c r="F4" s="42"/>
      <c r="G4" s="42"/>
      <c r="H4" s="42"/>
      <c r="I4" s="42"/>
      <c r="J4" s="24"/>
      <c r="K4" s="42"/>
      <c r="L4" s="43"/>
    </row>
    <row r="5" spans="1:12" ht="55.5" customHeight="1" x14ac:dyDescent="0.25">
      <c r="B5" s="32" t="str">
        <f>UPPER(TEXT(F6,"mmmm"))</f>
        <v>БЕРЕЗЕНЬ</v>
      </c>
      <c r="C5" s="32"/>
      <c r="D5" s="32"/>
      <c r="F5" s="44"/>
      <c r="G5" s="44"/>
      <c r="H5" s="44"/>
      <c r="I5" s="44"/>
      <c r="J5" s="25"/>
      <c r="K5" s="44"/>
      <c r="L5" s="45"/>
    </row>
    <row r="6" spans="1:12" s="5" customFormat="1" ht="19.5" customHeight="1" x14ac:dyDescent="0.3">
      <c r="A6" s="4"/>
      <c r="B6" s="17"/>
      <c r="C6" s="17"/>
      <c r="D6" s="17"/>
      <c r="E6" s="4"/>
      <c r="F6" s="35">
        <f t="array" ref="F6:L6">ДніТаТижні+DATE(КалендарРік,3,1)-WEEKDAY(DATE(КалендарРік,3,1),(ПочатокТижня="ПН")+1)+8</f>
        <v>46083</v>
      </c>
      <c r="G6" s="35">
        <v>46084</v>
      </c>
      <c r="H6" s="35">
        <v>46085</v>
      </c>
      <c r="I6" s="35">
        <v>46086</v>
      </c>
      <c r="J6" s="35">
        <v>46087</v>
      </c>
      <c r="K6" s="35">
        <v>46088</v>
      </c>
      <c r="L6" s="56">
        <v>46089</v>
      </c>
    </row>
    <row r="7" spans="1:12" ht="75" customHeight="1" x14ac:dyDescent="0.25">
      <c r="B7" s="17"/>
      <c r="C7" s="17"/>
      <c r="D7" s="17"/>
      <c r="F7" s="36" t="s">
        <v>5</v>
      </c>
      <c r="G7" s="37" t="s">
        <v>6</v>
      </c>
      <c r="H7" s="37" t="s">
        <v>6</v>
      </c>
      <c r="I7" s="38" t="s">
        <v>7</v>
      </c>
      <c r="J7" s="39" t="s">
        <v>8</v>
      </c>
      <c r="K7" s="46"/>
      <c r="L7" s="47"/>
    </row>
    <row r="8" spans="1:12" s="5" customFormat="1" ht="19.5" customHeight="1" x14ac:dyDescent="0.3">
      <c r="A8" s="4"/>
      <c r="B8" s="17"/>
      <c r="C8" s="17"/>
      <c r="D8" s="17"/>
      <c r="E8" s="4"/>
      <c r="F8" s="35">
        <f t="array" ref="F8:L8">ДніТаТижні+DATE(КалендарРік,3,1)-WEEKDAY(DATE(КалендарРік,3,1),(ПочатокТижня="ПН")+1)+15</f>
        <v>46090</v>
      </c>
      <c r="G8" s="35">
        <v>46091</v>
      </c>
      <c r="H8" s="35">
        <v>46092</v>
      </c>
      <c r="I8" s="35">
        <v>46093</v>
      </c>
      <c r="J8" s="35">
        <v>46094</v>
      </c>
      <c r="K8" s="35">
        <v>46095</v>
      </c>
      <c r="L8" s="41">
        <v>46096</v>
      </c>
    </row>
    <row r="9" spans="1:12" ht="75" customHeight="1" x14ac:dyDescent="0.25">
      <c r="B9" s="17"/>
      <c r="C9" s="17"/>
      <c r="D9" s="17"/>
      <c r="F9" s="36" t="s">
        <v>5</v>
      </c>
      <c r="G9" s="37" t="s">
        <v>6</v>
      </c>
      <c r="H9" s="37" t="s">
        <v>6</v>
      </c>
      <c r="I9" s="38" t="s">
        <v>7</v>
      </c>
      <c r="J9" s="39" t="s">
        <v>8</v>
      </c>
      <c r="K9" s="46"/>
      <c r="L9" s="47"/>
    </row>
    <row r="10" spans="1:12" s="5" customFormat="1" ht="19.5" customHeight="1" x14ac:dyDescent="0.3">
      <c r="A10" s="4"/>
      <c r="B10" s="17"/>
      <c r="C10" s="17"/>
      <c r="D10" s="17"/>
      <c r="E10" s="4"/>
      <c r="F10" s="35">
        <f t="array" ref="F10:L10">ДніТаТижні+DATE(КалендарРік,3,1)-WEEKDAY(DATE(КалендарРік,3,1),(ПочатокТижня="ПН")+1)+22</f>
        <v>46097</v>
      </c>
      <c r="G10" s="35">
        <v>46098</v>
      </c>
      <c r="H10" s="35">
        <v>46099</v>
      </c>
      <c r="I10" s="35">
        <v>46100</v>
      </c>
      <c r="J10" s="35">
        <v>46101</v>
      </c>
      <c r="K10" s="35">
        <v>46102</v>
      </c>
      <c r="L10" s="41">
        <v>46103</v>
      </c>
    </row>
    <row r="11" spans="1:12" ht="75" customHeight="1" x14ac:dyDescent="0.25">
      <c r="B11" s="17"/>
      <c r="C11" s="17"/>
      <c r="D11" s="17"/>
      <c r="F11" s="36" t="s">
        <v>5</v>
      </c>
      <c r="G11" s="37" t="s">
        <v>6</v>
      </c>
      <c r="H11" s="37" t="s">
        <v>6</v>
      </c>
      <c r="I11" s="38" t="s">
        <v>7</v>
      </c>
      <c r="J11" s="39" t="s">
        <v>8</v>
      </c>
      <c r="K11" s="46"/>
      <c r="L11" s="47"/>
    </row>
    <row r="12" spans="1:12" s="5" customFormat="1" ht="19.5" customHeight="1" x14ac:dyDescent="0.3">
      <c r="A12" s="4"/>
      <c r="B12" s="17"/>
      <c r="C12" s="17"/>
      <c r="D12" s="17"/>
      <c r="E12" s="4"/>
      <c r="F12" s="35">
        <f t="array" ref="F12:L12">ДніТаТижні+DATE(КалендарРік,3,1)-WEEKDAY(DATE(КалендарРік,3,1),(ПочатокТижня="ПН")+1)+29</f>
        <v>46104</v>
      </c>
      <c r="G12" s="35">
        <v>46105</v>
      </c>
      <c r="H12" s="35">
        <v>46106</v>
      </c>
      <c r="I12" s="35">
        <v>46107</v>
      </c>
      <c r="J12" s="35">
        <v>46108</v>
      </c>
      <c r="K12" s="35">
        <v>46109</v>
      </c>
      <c r="L12" s="35">
        <v>46110</v>
      </c>
    </row>
    <row r="13" spans="1:12" ht="75" customHeight="1" x14ac:dyDescent="0.25">
      <c r="B13" s="17"/>
      <c r="C13" s="17"/>
      <c r="D13" s="17"/>
      <c r="F13" s="36" t="s">
        <v>5</v>
      </c>
      <c r="G13" s="37" t="s">
        <v>6</v>
      </c>
      <c r="H13" s="37" t="s">
        <v>6</v>
      </c>
      <c r="I13" s="38" t="s">
        <v>7</v>
      </c>
      <c r="J13" s="39" t="s">
        <v>8</v>
      </c>
      <c r="K13" s="46"/>
      <c r="L13" s="47"/>
    </row>
    <row r="14" spans="1:12" s="5" customFormat="1" ht="19.5" customHeight="1" x14ac:dyDescent="0.3">
      <c r="A14" s="4"/>
      <c r="B14" s="17"/>
      <c r="C14" s="17"/>
      <c r="D14" s="17"/>
      <c r="E14" s="4"/>
      <c r="F14" s="35">
        <f t="array" ref="F14:G14">ДніТаТижні+DATE(КалендарРік,3,1)-WEEKDAY(DATE(КалендарРік,3,1),(ПочатокТижня="ПН")+1)+36</f>
        <v>46111</v>
      </c>
      <c r="G14" s="35">
        <v>46112</v>
      </c>
      <c r="H14" s="49" t="s">
        <v>4</v>
      </c>
      <c r="I14" s="52"/>
      <c r="J14" s="52"/>
      <c r="K14" s="52"/>
      <c r="L14" s="53"/>
    </row>
    <row r="15" spans="1:12" ht="75" customHeight="1" x14ac:dyDescent="0.25">
      <c r="B15" s="9"/>
      <c r="C15" s="9"/>
      <c r="D15" s="9"/>
      <c r="F15" s="36" t="s">
        <v>5</v>
      </c>
      <c r="G15" s="37" t="s">
        <v>6</v>
      </c>
      <c r="H15" s="51"/>
      <c r="I15" s="54"/>
      <c r="J15" s="54"/>
      <c r="K15" s="54"/>
      <c r="L15" s="55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3:F6 F8 F10 F12 F14">
    <cfRule type="expression" dxfId="57" priority="8">
      <formula>F$2="НД"</formula>
    </cfRule>
  </conditionalFormatting>
  <conditionalFormatting sqref="F3:K4">
    <cfRule type="expression" dxfId="56" priority="9">
      <formula>DAY(F3)&gt;8</formula>
    </cfRule>
  </conditionalFormatting>
  <conditionalFormatting sqref="F12:L12 F14:G14">
    <cfRule type="expression" dxfId="55" priority="10">
      <formula>AND(DAY(F12)&gt;=1,DAY(F12)&lt;=15)</formula>
    </cfRule>
  </conditionalFormatting>
  <conditionalFormatting sqref="K3:L4 K6:L13">
    <cfRule type="expression" dxfId="54" priority="7">
      <formula>K$2="СБ"</formula>
    </cfRule>
  </conditionalFormatting>
  <conditionalFormatting sqref="L3:L4 L6:L13">
    <cfRule type="expression" dxfId="53" priority="6">
      <formula>$L$2="НД"</formula>
    </cfRule>
  </conditionalFormatting>
  <conditionalFormatting sqref="F7">
    <cfRule type="expression" dxfId="52" priority="5">
      <formula>F$2="НД"</formula>
    </cfRule>
  </conditionalFormatting>
  <conditionalFormatting sqref="F9">
    <cfRule type="expression" dxfId="51" priority="4">
      <formula>F$2="НД"</formula>
    </cfRule>
  </conditionalFormatting>
  <conditionalFormatting sqref="F11">
    <cfRule type="expression" dxfId="50" priority="3">
      <formula>F$2="НД"</formula>
    </cfRule>
  </conditionalFormatting>
  <conditionalFormatting sqref="F13">
    <cfRule type="expression" dxfId="49" priority="2">
      <formula>F$2="НД"</formula>
    </cfRule>
  </conditionalFormatting>
  <conditionalFormatting sqref="F15">
    <cfRule type="expression" dxfId="48" priority="1">
      <formula>F$2="НД"</formula>
    </cfRule>
  </conditionalFormatting>
  <printOptions horizontalCentered="1" verticalCentered="1"/>
  <pageMargins left="0.25" right="0.25" top="0.5" bottom="0.5" header="0.3" footer="0.3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/>
    <pageSetUpPr autoPageBreaks="0" fitToPage="1"/>
  </sheetPr>
  <dimension ref="A1:L15"/>
  <sheetViews>
    <sheetView showGridLines="0" topLeftCell="A2" zoomScaleNormal="100" workbookViewId="0">
      <selection activeCell="F2" sqref="F1:L1048576"/>
    </sheetView>
  </sheetViews>
  <sheetFormatPr defaultColWidth="10" defaultRowHeight="13" x14ac:dyDescent="0.25"/>
  <cols>
    <col min="1" max="1" width="2.54296875" style="1" customWidth="1"/>
    <col min="2" max="2" width="5.453125" style="1" customWidth="1"/>
    <col min="3" max="3" width="10.26953125" style="1" customWidth="1"/>
    <col min="4" max="4" width="5.453125" style="1" customWidth="1"/>
    <col min="5" max="5" width="3.7265625" style="1" customWidth="1"/>
    <col min="6" max="6" width="18.453125" style="46" customWidth="1"/>
    <col min="7" max="8" width="18.453125" style="66" customWidth="1"/>
    <col min="9" max="9" width="18.453125" style="46" customWidth="1"/>
    <col min="10" max="10" width="18.453125" style="66" customWidth="1"/>
    <col min="11" max="12" width="18.453125" style="46" customWidth="1"/>
    <col min="13" max="13" width="2.7265625" customWidth="1"/>
    <col min="14" max="14" width="10" customWidth="1"/>
  </cols>
  <sheetData>
    <row r="1" spans="1:12" ht="15" customHeight="1" x14ac:dyDescent="0.25">
      <c r="B1" s="9"/>
      <c r="C1" s="23">
        <f>КалендарРік</f>
        <v>2026</v>
      </c>
      <c r="D1" s="9"/>
    </row>
    <row r="2" spans="1:12" s="3" customFormat="1" ht="35.25" customHeight="1" x14ac:dyDescent="0.3">
      <c r="A2" s="2"/>
      <c r="B2" s="10"/>
      <c r="C2" s="23"/>
      <c r="D2" s="10"/>
      <c r="E2" s="2"/>
      <c r="F2" s="40" t="str">
        <f>UPPER(TEXT(ПочатокТижня,"ddd"))</f>
        <v>ПН</v>
      </c>
      <c r="G2" s="57" t="str">
        <f t="shared" ref="G2:L2" si="0">UPPER(TEXT(G3,"ddd"))</f>
        <v>ВТ</v>
      </c>
      <c r="H2" s="57" t="str">
        <f t="shared" si="0"/>
        <v>СР</v>
      </c>
      <c r="I2" s="40" t="str">
        <f t="shared" si="0"/>
        <v>ЧТ</v>
      </c>
      <c r="J2" s="57" t="str">
        <f t="shared" si="0"/>
        <v>ПТ</v>
      </c>
      <c r="K2" s="40" t="str">
        <f t="shared" si="0"/>
        <v>СБ</v>
      </c>
      <c r="L2" s="40" t="str">
        <f t="shared" si="0"/>
        <v>НД</v>
      </c>
    </row>
    <row r="3" spans="1:12" s="5" customFormat="1" ht="19.5" customHeight="1" x14ac:dyDescent="0.3">
      <c r="A3" s="4"/>
      <c r="B3" s="11"/>
      <c r="C3" s="23"/>
      <c r="D3" s="11"/>
      <c r="E3" s="4"/>
      <c r="F3" s="35">
        <f t="array" ref="F3:L3">ДніТаТижні+DATE(КалендарРік,4,1)-WEEKDAY(DATE(КалендарРік,4,1),(ПочатокТижня="ПН")+1)+1</f>
        <v>46111</v>
      </c>
      <c r="G3" s="58">
        <v>46112</v>
      </c>
      <c r="H3" s="58">
        <v>46113</v>
      </c>
      <c r="I3" s="35">
        <v>46114</v>
      </c>
      <c r="J3" s="58">
        <v>46115</v>
      </c>
      <c r="K3" s="35">
        <v>46116</v>
      </c>
      <c r="L3" s="41">
        <v>46117</v>
      </c>
    </row>
    <row r="4" spans="1:12" s="5" customFormat="1" ht="19.5" customHeight="1" x14ac:dyDescent="0.25">
      <c r="A4" s="4"/>
      <c r="B4" s="11"/>
      <c r="C4" s="23"/>
      <c r="D4" s="11"/>
      <c r="E4" s="4"/>
      <c r="F4" s="24"/>
      <c r="G4" s="59"/>
      <c r="H4" s="67" t="s">
        <v>6</v>
      </c>
      <c r="I4" s="28" t="s">
        <v>7</v>
      </c>
      <c r="J4" s="60" t="s">
        <v>8</v>
      </c>
      <c r="K4" s="42"/>
      <c r="L4" s="43"/>
    </row>
    <row r="5" spans="1:12" ht="55.5" customHeight="1" x14ac:dyDescent="0.25">
      <c r="B5" s="32" t="str">
        <f>UPPER(TEXT(F6,"mmmm"))</f>
        <v>КВІТЕНЬ</v>
      </c>
      <c r="C5" s="32"/>
      <c r="D5" s="32"/>
      <c r="F5" s="25"/>
      <c r="G5" s="61"/>
      <c r="H5" s="68"/>
      <c r="I5" s="29"/>
      <c r="J5" s="62"/>
      <c r="K5" s="44"/>
      <c r="L5" s="45"/>
    </row>
    <row r="6" spans="1:12" s="5" customFormat="1" ht="19.5" customHeight="1" x14ac:dyDescent="0.3">
      <c r="A6" s="4"/>
      <c r="B6" s="17"/>
      <c r="C6" s="17"/>
      <c r="D6" s="17"/>
      <c r="E6" s="4"/>
      <c r="F6" s="35">
        <f t="array" ref="F6:L6">ДніТаТижні+DATE(КалендарРік,4,1)-WEEKDAY(DATE(КалендарРік,4,1),(ПочатокТижня="ПН")+1)+8</f>
        <v>46118</v>
      </c>
      <c r="G6" s="58">
        <v>46119</v>
      </c>
      <c r="H6" s="58">
        <v>46120</v>
      </c>
      <c r="I6" s="35">
        <v>46121</v>
      </c>
      <c r="J6" s="58">
        <v>46122</v>
      </c>
      <c r="K6" s="35">
        <v>46123</v>
      </c>
      <c r="L6" s="41">
        <v>46124</v>
      </c>
    </row>
    <row r="7" spans="1:12" ht="75" customHeight="1" x14ac:dyDescent="0.25">
      <c r="B7" s="17"/>
      <c r="C7" s="17"/>
      <c r="D7" s="17"/>
      <c r="F7" s="36" t="s">
        <v>5</v>
      </c>
      <c r="G7" s="37" t="s">
        <v>6</v>
      </c>
      <c r="H7" s="37" t="s">
        <v>6</v>
      </c>
      <c r="I7" s="38" t="s">
        <v>7</v>
      </c>
      <c r="J7" s="39" t="s">
        <v>8</v>
      </c>
      <c r="L7" s="47"/>
    </row>
    <row r="8" spans="1:12" s="5" customFormat="1" ht="19.5" customHeight="1" x14ac:dyDescent="0.3">
      <c r="A8" s="4"/>
      <c r="B8" s="17"/>
      <c r="C8" s="17"/>
      <c r="D8" s="17"/>
      <c r="E8" s="4"/>
      <c r="F8" s="35">
        <f t="array" ref="F8:L8">ДніТаТижні+DATE(КалендарРік,4,1)-WEEKDAY(DATE(КалендарРік,4,1),(ПочатокТижня="ПН")+1)+15</f>
        <v>46125</v>
      </c>
      <c r="G8" s="58">
        <v>46126</v>
      </c>
      <c r="H8" s="58">
        <v>46127</v>
      </c>
      <c r="I8" s="35">
        <v>46128</v>
      </c>
      <c r="J8" s="58">
        <v>46129</v>
      </c>
      <c r="K8" s="35">
        <v>46130</v>
      </c>
      <c r="L8" s="41">
        <v>46131</v>
      </c>
    </row>
    <row r="9" spans="1:12" ht="75" customHeight="1" x14ac:dyDescent="0.25">
      <c r="B9" s="17"/>
      <c r="C9" s="17"/>
      <c r="D9" s="17"/>
      <c r="F9" s="36" t="s">
        <v>5</v>
      </c>
      <c r="G9" s="37" t="s">
        <v>6</v>
      </c>
      <c r="H9" s="37" t="s">
        <v>6</v>
      </c>
      <c r="I9" s="38" t="s">
        <v>7</v>
      </c>
      <c r="J9" s="39" t="s">
        <v>8</v>
      </c>
      <c r="L9" s="47"/>
    </row>
    <row r="10" spans="1:12" s="5" customFormat="1" ht="19.5" customHeight="1" x14ac:dyDescent="0.3">
      <c r="A10" s="4"/>
      <c r="B10" s="17"/>
      <c r="C10" s="17"/>
      <c r="D10" s="17"/>
      <c r="E10" s="4"/>
      <c r="F10" s="35">
        <f t="array" ref="F10:L10">ДніТаТижні+DATE(КалендарРік,4,1)-WEEKDAY(DATE(КалендарРік,4,1),(ПочатокТижня="ПН")+1)+22</f>
        <v>46132</v>
      </c>
      <c r="G10" s="58">
        <v>46133</v>
      </c>
      <c r="H10" s="58">
        <v>46134</v>
      </c>
      <c r="I10" s="35">
        <v>46135</v>
      </c>
      <c r="J10" s="58">
        <v>46136</v>
      </c>
      <c r="K10" s="35">
        <v>46137</v>
      </c>
      <c r="L10" s="41">
        <v>46138</v>
      </c>
    </row>
    <row r="11" spans="1:12" ht="75" customHeight="1" x14ac:dyDescent="0.25">
      <c r="B11" s="17"/>
      <c r="C11" s="17"/>
      <c r="D11" s="17"/>
      <c r="F11" s="36" t="s">
        <v>5</v>
      </c>
      <c r="G11" s="37" t="s">
        <v>6</v>
      </c>
      <c r="H11" s="37" t="s">
        <v>6</v>
      </c>
      <c r="I11" s="38" t="s">
        <v>7</v>
      </c>
      <c r="J11" s="39" t="s">
        <v>8</v>
      </c>
      <c r="L11" s="47"/>
    </row>
    <row r="12" spans="1:12" s="5" customFormat="1" ht="19.5" customHeight="1" x14ac:dyDescent="0.3">
      <c r="A12" s="4"/>
      <c r="B12" s="17"/>
      <c r="C12" s="17"/>
      <c r="D12" s="17"/>
      <c r="E12" s="4"/>
      <c r="F12" s="35">
        <f t="array" ref="F12:L12">ДніТаТижні+DATE(КалендарРік,4,1)-WEEKDAY(DATE(КалендарРік,4,1),(ПочатокТижня="ПН")+1)+29</f>
        <v>46139</v>
      </c>
      <c r="G12" s="58">
        <v>46140</v>
      </c>
      <c r="H12" s="58">
        <v>46141</v>
      </c>
      <c r="I12" s="35">
        <v>46142</v>
      </c>
      <c r="J12" s="58">
        <v>46143</v>
      </c>
      <c r="K12" s="35">
        <v>46144</v>
      </c>
      <c r="L12" s="35">
        <v>46145</v>
      </c>
    </row>
    <row r="13" spans="1:12" ht="75" customHeight="1" x14ac:dyDescent="0.25">
      <c r="B13" s="17"/>
      <c r="C13" s="17"/>
      <c r="D13" s="17"/>
      <c r="F13" s="36" t="s">
        <v>5</v>
      </c>
      <c r="G13" s="37" t="s">
        <v>6</v>
      </c>
      <c r="H13" s="37" t="s">
        <v>6</v>
      </c>
      <c r="I13" s="38" t="s">
        <v>7</v>
      </c>
      <c r="J13" s="69"/>
      <c r="L13" s="47"/>
    </row>
    <row r="14" spans="1:12" s="5" customFormat="1" ht="19.5" customHeight="1" x14ac:dyDescent="0.3">
      <c r="A14" s="4"/>
      <c r="B14" s="17"/>
      <c r="C14" s="17"/>
      <c r="D14" s="17"/>
      <c r="E14" s="4"/>
      <c r="F14" s="35">
        <f t="array" ref="F14:G14">ДніТаТижні+DATE(КалендарРік,4,1)-WEEKDAY(DATE(КалендарРік,4,1),(ПочатокТижня="ПН")+1)+36</f>
        <v>46146</v>
      </c>
      <c r="G14" s="58">
        <v>46147</v>
      </c>
      <c r="H14" s="63" t="s">
        <v>4</v>
      </c>
      <c r="I14" s="52"/>
      <c r="J14" s="52"/>
      <c r="K14" s="52"/>
      <c r="L14" s="53"/>
    </row>
    <row r="15" spans="1:12" ht="75" customHeight="1" x14ac:dyDescent="0.25">
      <c r="B15" s="9"/>
      <c r="C15" s="9"/>
      <c r="D15" s="9"/>
      <c r="F15" s="50"/>
      <c r="G15" s="64"/>
      <c r="H15" s="65"/>
      <c r="I15" s="54"/>
      <c r="J15" s="54"/>
      <c r="K15" s="54"/>
      <c r="L15" s="55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3:F15">
    <cfRule type="expression" dxfId="47" priority="3">
      <formula>F$2="НД"</formula>
    </cfRule>
  </conditionalFormatting>
  <conditionalFormatting sqref="F3:K4">
    <cfRule type="expression" dxfId="46" priority="4">
      <formula>DAY(F3)&gt;8</formula>
    </cfRule>
  </conditionalFormatting>
  <conditionalFormatting sqref="F12:L12 F14:G14">
    <cfRule type="expression" dxfId="45" priority="5">
      <formula>AND(DAY(F12)&gt;=1,DAY(F12)&lt;=15)</formula>
    </cfRule>
  </conditionalFormatting>
  <conditionalFormatting sqref="K3:L4 K6:L13">
    <cfRule type="expression" dxfId="44" priority="2">
      <formula>K$2="СБ"</formula>
    </cfRule>
  </conditionalFormatting>
  <conditionalFormatting sqref="L3:L4 L6:L13">
    <cfRule type="expression" dxfId="43" priority="1">
      <formula>$L$2="НД"</formula>
    </cfRule>
  </conditionalFormatting>
  <printOptions horizontalCentered="1" verticalCentered="1"/>
  <pageMargins left="0.25" right="0.25" top="0.5" bottom="0.5" header="0.3" footer="0.3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3" tint="-0.249977111117893"/>
    <pageSetUpPr autoPageBreaks="0" fitToPage="1"/>
  </sheetPr>
  <dimension ref="A1:L15"/>
  <sheetViews>
    <sheetView showGridLines="0" zoomScaleNormal="100" workbookViewId="0">
      <selection activeCell="K6" sqref="K6"/>
    </sheetView>
  </sheetViews>
  <sheetFormatPr defaultColWidth="10" defaultRowHeight="13" x14ac:dyDescent="0.25"/>
  <cols>
    <col min="1" max="1" width="2.54296875" style="1" customWidth="1"/>
    <col min="2" max="2" width="5.453125" style="1" customWidth="1"/>
    <col min="3" max="3" width="10.26953125" style="1" customWidth="1"/>
    <col min="4" max="4" width="5.453125" style="1" customWidth="1"/>
    <col min="5" max="5" width="3.7265625" style="1" customWidth="1"/>
    <col min="6" max="6" width="18.453125" style="16" customWidth="1"/>
    <col min="7" max="8" width="18.453125" style="15" customWidth="1"/>
    <col min="9" max="9" width="18.453125" style="16" customWidth="1"/>
    <col min="10" max="10" width="18.453125" style="15" customWidth="1"/>
    <col min="11" max="12" width="18.453125" customWidth="1"/>
    <col min="13" max="13" width="2.7265625" customWidth="1"/>
    <col min="14" max="14" width="10" customWidth="1"/>
  </cols>
  <sheetData>
    <row r="1" spans="1:12" ht="15" customHeight="1" x14ac:dyDescent="0.25">
      <c r="B1" s="9"/>
      <c r="C1" s="23">
        <f>КалендарРік</f>
        <v>2026</v>
      </c>
      <c r="D1" s="9"/>
    </row>
    <row r="2" spans="1:12" s="3" customFormat="1" ht="35.25" customHeight="1" x14ac:dyDescent="0.3">
      <c r="A2" s="2"/>
      <c r="B2" s="10"/>
      <c r="C2" s="23"/>
      <c r="D2" s="10"/>
      <c r="E2" s="2"/>
      <c r="F2" s="40" t="str">
        <f>UPPER(TEXT(ПочатокТижня,"ddd"))</f>
        <v>ПН</v>
      </c>
      <c r="G2" s="57" t="str">
        <f t="shared" ref="G2:L2" si="0">UPPER(TEXT(G3,"ddd"))</f>
        <v>ВТ</v>
      </c>
      <c r="H2" s="57" t="str">
        <f t="shared" si="0"/>
        <v>СР</v>
      </c>
      <c r="I2" s="40" t="str">
        <f t="shared" si="0"/>
        <v>ЧТ</v>
      </c>
      <c r="J2" s="57" t="str">
        <f t="shared" si="0"/>
        <v>ПТ</v>
      </c>
      <c r="K2" s="40" t="str">
        <f t="shared" si="0"/>
        <v>СБ</v>
      </c>
      <c r="L2" s="40" t="str">
        <f t="shared" si="0"/>
        <v>НД</v>
      </c>
    </row>
    <row r="3" spans="1:12" s="5" customFormat="1" ht="19.5" customHeight="1" x14ac:dyDescent="0.3">
      <c r="A3" s="4"/>
      <c r="B3" s="11"/>
      <c r="C3" s="23"/>
      <c r="D3" s="11"/>
      <c r="E3" s="4"/>
      <c r="F3" s="35">
        <f t="array" ref="F3:L3">ДніТаТижні+DATE(КалендарРік,5,1)-WEEKDAY(DATE(КалендарРік,5,1),(ПочатокТижня="ПН")+1)+1</f>
        <v>46139</v>
      </c>
      <c r="G3" s="58">
        <v>46140</v>
      </c>
      <c r="H3" s="58">
        <v>46141</v>
      </c>
      <c r="I3" s="35">
        <v>46142</v>
      </c>
      <c r="J3" s="58">
        <v>46143</v>
      </c>
      <c r="K3" s="35">
        <v>46144</v>
      </c>
      <c r="L3" s="41">
        <v>46145</v>
      </c>
    </row>
    <row r="4" spans="1:12" s="5" customFormat="1" ht="19.5" customHeight="1" x14ac:dyDescent="0.25">
      <c r="A4" s="4"/>
      <c r="B4" s="11"/>
      <c r="C4" s="23"/>
      <c r="D4" s="11"/>
      <c r="E4" s="4"/>
      <c r="F4" s="24"/>
      <c r="G4" s="59"/>
      <c r="H4" s="59"/>
      <c r="I4" s="24"/>
      <c r="J4" s="60" t="s">
        <v>8</v>
      </c>
      <c r="K4" s="42"/>
      <c r="L4" s="43"/>
    </row>
    <row r="5" spans="1:12" ht="55.5" customHeight="1" x14ac:dyDescent="0.25">
      <c r="B5" s="32" t="str">
        <f>UPPER(TEXT(F6,"mmmm"))</f>
        <v>ТРАВЕНЬ</v>
      </c>
      <c r="C5" s="32"/>
      <c r="D5" s="32"/>
      <c r="F5" s="25"/>
      <c r="G5" s="61"/>
      <c r="H5" s="61"/>
      <c r="I5" s="25"/>
      <c r="J5" s="62"/>
      <c r="K5" s="44"/>
      <c r="L5" s="45"/>
    </row>
    <row r="6" spans="1:12" s="5" customFormat="1" ht="19.5" customHeight="1" x14ac:dyDescent="0.3">
      <c r="A6" s="4"/>
      <c r="B6" s="17"/>
      <c r="C6" s="17"/>
      <c r="D6" s="17"/>
      <c r="E6" s="4"/>
      <c r="F6" s="35">
        <f t="array" ref="F6:L6">ДніТаТижні+DATE(КалендарРік,5,1)-WEEKDAY(DATE(КалендарРік,5,1),(ПочатокТижня="ПН")+1)+8</f>
        <v>46146</v>
      </c>
      <c r="G6" s="58">
        <v>46147</v>
      </c>
      <c r="H6" s="58">
        <v>46148</v>
      </c>
      <c r="I6" s="35">
        <v>46149</v>
      </c>
      <c r="J6" s="58">
        <v>46150</v>
      </c>
      <c r="K6" s="35">
        <v>46151</v>
      </c>
      <c r="L6" s="41">
        <v>46152</v>
      </c>
    </row>
    <row r="7" spans="1:12" ht="75" customHeight="1" x14ac:dyDescent="0.25">
      <c r="B7" s="17"/>
      <c r="C7" s="17"/>
      <c r="D7" s="17"/>
      <c r="F7" s="36" t="s">
        <v>5</v>
      </c>
      <c r="G7" s="37" t="s">
        <v>6</v>
      </c>
      <c r="H7" s="37" t="s">
        <v>6</v>
      </c>
      <c r="I7" s="38" t="s">
        <v>7</v>
      </c>
      <c r="J7" s="39" t="s">
        <v>8</v>
      </c>
      <c r="K7" s="46"/>
      <c r="L7" s="47"/>
    </row>
    <row r="8" spans="1:12" s="5" customFormat="1" ht="19.5" customHeight="1" x14ac:dyDescent="0.3">
      <c r="A8" s="4"/>
      <c r="B8" s="17"/>
      <c r="C8" s="17"/>
      <c r="D8" s="17"/>
      <c r="E8" s="4"/>
      <c r="F8" s="35">
        <f t="array" ref="F8:L8">ДніТаТижні+DATE(КалендарРік,5,1)-WEEKDAY(DATE(КалендарРік,5,1),(ПочатокТижня="ПН")+1)+15</f>
        <v>46153</v>
      </c>
      <c r="G8" s="58">
        <v>46154</v>
      </c>
      <c r="H8" s="58">
        <v>46155</v>
      </c>
      <c r="I8" s="35">
        <v>46156</v>
      </c>
      <c r="J8" s="58">
        <v>46157</v>
      </c>
      <c r="K8" s="35">
        <v>46158</v>
      </c>
      <c r="L8" s="41">
        <v>46159</v>
      </c>
    </row>
    <row r="9" spans="1:12" ht="75" customHeight="1" x14ac:dyDescent="0.25">
      <c r="B9" s="17"/>
      <c r="C9" s="17"/>
      <c r="D9" s="17"/>
      <c r="F9" s="36" t="s">
        <v>5</v>
      </c>
      <c r="G9" s="37" t="s">
        <v>6</v>
      </c>
      <c r="H9" s="37" t="s">
        <v>6</v>
      </c>
      <c r="I9" s="38" t="s">
        <v>7</v>
      </c>
      <c r="J9" s="39" t="s">
        <v>8</v>
      </c>
      <c r="K9" s="46"/>
      <c r="L9" s="47"/>
    </row>
    <row r="10" spans="1:12" s="5" customFormat="1" ht="19.5" customHeight="1" x14ac:dyDescent="0.3">
      <c r="A10" s="4"/>
      <c r="B10" s="17"/>
      <c r="C10" s="17"/>
      <c r="D10" s="17"/>
      <c r="E10" s="4"/>
      <c r="F10" s="35">
        <f t="array" ref="F10:L10">ДніТаТижні+DATE(КалендарРік,5,1)-WEEKDAY(DATE(КалендарРік,5,1),(ПочатокТижня="ПН")+1)+22</f>
        <v>46160</v>
      </c>
      <c r="G10" s="58">
        <v>46161</v>
      </c>
      <c r="H10" s="58">
        <v>46162</v>
      </c>
      <c r="I10" s="35">
        <v>46163</v>
      </c>
      <c r="J10" s="58">
        <v>46164</v>
      </c>
      <c r="K10" s="35">
        <v>46165</v>
      </c>
      <c r="L10" s="41">
        <v>46166</v>
      </c>
    </row>
    <row r="11" spans="1:12" ht="75" customHeight="1" x14ac:dyDescent="0.25">
      <c r="B11" s="17"/>
      <c r="C11" s="17"/>
      <c r="D11" s="17"/>
      <c r="F11" s="36" t="s">
        <v>5</v>
      </c>
      <c r="G11" s="37" t="s">
        <v>6</v>
      </c>
      <c r="H11" s="37" t="s">
        <v>6</v>
      </c>
      <c r="I11" s="38" t="s">
        <v>7</v>
      </c>
      <c r="J11" s="39" t="s">
        <v>8</v>
      </c>
      <c r="K11" s="46"/>
      <c r="L11" s="47"/>
    </row>
    <row r="12" spans="1:12" s="5" customFormat="1" ht="19.5" customHeight="1" x14ac:dyDescent="0.3">
      <c r="A12" s="4"/>
      <c r="B12" s="17"/>
      <c r="C12" s="17"/>
      <c r="D12" s="17"/>
      <c r="E12" s="4"/>
      <c r="F12" s="35">
        <f t="array" ref="F12:L12">ДніТаТижні+DATE(КалендарРік,5,1)-WEEKDAY(DATE(КалендарРік,5,1),(ПочатокТижня="ПН")+1)+29</f>
        <v>46167</v>
      </c>
      <c r="G12" s="58">
        <v>46168</v>
      </c>
      <c r="H12" s="58">
        <v>46169</v>
      </c>
      <c r="I12" s="35">
        <v>46170</v>
      </c>
      <c r="J12" s="58">
        <v>46171</v>
      </c>
      <c r="K12" s="35">
        <v>46172</v>
      </c>
      <c r="L12" s="35">
        <v>46173</v>
      </c>
    </row>
    <row r="13" spans="1:12" ht="75" customHeight="1" x14ac:dyDescent="0.25">
      <c r="B13" s="17"/>
      <c r="C13" s="17"/>
      <c r="D13" s="17"/>
      <c r="F13" s="36" t="s">
        <v>5</v>
      </c>
      <c r="G13" s="37" t="s">
        <v>6</v>
      </c>
      <c r="H13" s="37" t="s">
        <v>6</v>
      </c>
      <c r="I13" s="38" t="s">
        <v>7</v>
      </c>
      <c r="J13" s="39" t="s">
        <v>8</v>
      </c>
      <c r="K13" s="46"/>
      <c r="L13" s="47"/>
    </row>
    <row r="14" spans="1:12" s="5" customFormat="1" ht="19.5" customHeight="1" x14ac:dyDescent="0.3">
      <c r="A14" s="4"/>
      <c r="B14" s="17"/>
      <c r="C14" s="17"/>
      <c r="D14" s="17"/>
      <c r="E14" s="4"/>
      <c r="F14" s="35">
        <f t="array" ref="F14:G14">ДніТаТижні+DATE(КалендарРік,5,1)-WEEKDAY(DATE(КалендарРік,5,1),(ПочатокТижня="ПН")+1)+36</f>
        <v>46174</v>
      </c>
      <c r="G14" s="58">
        <v>46175</v>
      </c>
      <c r="H14" s="63" t="s">
        <v>4</v>
      </c>
      <c r="I14" s="52"/>
      <c r="J14" s="52"/>
      <c r="K14" s="52"/>
      <c r="L14" s="53"/>
    </row>
    <row r="15" spans="1:12" ht="75" customHeight="1" x14ac:dyDescent="0.25">
      <c r="B15" s="9"/>
      <c r="C15" s="9"/>
      <c r="D15" s="9"/>
      <c r="F15" s="50"/>
      <c r="G15" s="64"/>
      <c r="H15" s="65"/>
      <c r="I15" s="54"/>
      <c r="J15" s="54"/>
      <c r="K15" s="54"/>
      <c r="L15" s="55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3:F15">
    <cfRule type="expression" dxfId="42" priority="3">
      <formula>F$2="НД"</formula>
    </cfRule>
  </conditionalFormatting>
  <conditionalFormatting sqref="F3:K4">
    <cfRule type="expression" dxfId="41" priority="4">
      <formula>DAY(F3)&gt;8</formula>
    </cfRule>
  </conditionalFormatting>
  <conditionalFormatting sqref="F12:L12 F14:G14">
    <cfRule type="expression" dxfId="40" priority="5">
      <formula>AND(DAY(F12)&gt;=1,DAY(F12)&lt;=15)</formula>
    </cfRule>
  </conditionalFormatting>
  <conditionalFormatting sqref="K3:L4 K6:L13">
    <cfRule type="expression" dxfId="39" priority="2">
      <formula>K$2="СБ"</formula>
    </cfRule>
  </conditionalFormatting>
  <conditionalFormatting sqref="L3:L4 L6:L13">
    <cfRule type="expression" dxfId="38" priority="1">
      <formula>$L$2="НД"</formula>
    </cfRule>
  </conditionalFormatting>
  <printOptions horizontalCentered="1" verticalCentered="1"/>
  <pageMargins left="0.25" right="0.25" top="0.5" bottom="0.5" header="0.3" footer="0.3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3" tint="-0.499984740745262"/>
    <pageSetUpPr autoPageBreaks="0" fitToPage="1"/>
  </sheetPr>
  <dimension ref="A1:L15"/>
  <sheetViews>
    <sheetView showGridLines="0" zoomScaleNormal="100" workbookViewId="0">
      <selection activeCell="F1" sqref="F1:L1048576"/>
    </sheetView>
  </sheetViews>
  <sheetFormatPr defaultColWidth="10" defaultRowHeight="13" x14ac:dyDescent="0.25"/>
  <cols>
    <col min="1" max="1" width="2.54296875" style="1" customWidth="1"/>
    <col min="2" max="2" width="5.453125" style="1" customWidth="1"/>
    <col min="3" max="3" width="10.26953125" style="1" customWidth="1"/>
    <col min="4" max="4" width="5.453125" style="1" customWidth="1"/>
    <col min="5" max="5" width="3.7265625" style="1" customWidth="1"/>
    <col min="6" max="6" width="18.453125" style="46" customWidth="1"/>
    <col min="7" max="8" width="18.453125" style="66" customWidth="1"/>
    <col min="9" max="9" width="18.453125" style="46" customWidth="1"/>
    <col min="10" max="10" width="18.453125" style="66" customWidth="1"/>
    <col min="11" max="12" width="18.453125" style="46" customWidth="1"/>
    <col min="13" max="13" width="2.7265625" customWidth="1"/>
    <col min="14" max="14" width="10" customWidth="1"/>
  </cols>
  <sheetData>
    <row r="1" spans="1:12" ht="15" customHeight="1" x14ac:dyDescent="0.25">
      <c r="B1" s="9"/>
      <c r="C1" s="23">
        <f>КалендарРік</f>
        <v>2026</v>
      </c>
      <c r="D1" s="9"/>
    </row>
    <row r="2" spans="1:12" s="3" customFormat="1" ht="35.25" customHeight="1" x14ac:dyDescent="0.3">
      <c r="A2" s="2"/>
      <c r="B2" s="10"/>
      <c r="C2" s="23"/>
      <c r="D2" s="10"/>
      <c r="E2" s="2"/>
      <c r="F2" s="40" t="str">
        <f>UPPER(TEXT(ПочатокТижня,"ddd"))</f>
        <v>ПН</v>
      </c>
      <c r="G2" s="57" t="str">
        <f t="shared" ref="G2:L2" si="0">UPPER(TEXT(G3,"ddd"))</f>
        <v>ВТ</v>
      </c>
      <c r="H2" s="57" t="str">
        <f t="shared" si="0"/>
        <v>СР</v>
      </c>
      <c r="I2" s="40" t="str">
        <f t="shared" si="0"/>
        <v>ЧТ</v>
      </c>
      <c r="J2" s="57" t="str">
        <f t="shared" si="0"/>
        <v>ПТ</v>
      </c>
      <c r="K2" s="40" t="str">
        <f t="shared" si="0"/>
        <v>СБ</v>
      </c>
      <c r="L2" s="40" t="str">
        <f t="shared" si="0"/>
        <v>НД</v>
      </c>
    </row>
    <row r="3" spans="1:12" s="5" customFormat="1" ht="19.5" customHeight="1" x14ac:dyDescent="0.3">
      <c r="A3" s="4"/>
      <c r="B3" s="11"/>
      <c r="C3" s="23"/>
      <c r="D3" s="11"/>
      <c r="E3" s="4"/>
      <c r="F3" s="35">
        <f t="array" ref="F3:L3">ДніТаТижні+DATE(КалендарРік,6,1)-WEEKDAY(DATE(КалендарРік,6,1),(ПочатокТижня="ПН")+1)+1</f>
        <v>46174</v>
      </c>
      <c r="G3" s="58">
        <v>46175</v>
      </c>
      <c r="H3" s="58">
        <v>46176</v>
      </c>
      <c r="I3" s="35">
        <v>46177</v>
      </c>
      <c r="J3" s="58">
        <v>46178</v>
      </c>
      <c r="K3" s="35">
        <v>46179</v>
      </c>
      <c r="L3" s="41">
        <v>46180</v>
      </c>
    </row>
    <row r="4" spans="1:12" s="5" customFormat="1" ht="19.5" customHeight="1" x14ac:dyDescent="0.25">
      <c r="A4" s="4"/>
      <c r="B4" s="11"/>
      <c r="C4" s="23"/>
      <c r="D4" s="11"/>
      <c r="E4" s="4"/>
      <c r="F4" s="33" t="s">
        <v>5</v>
      </c>
      <c r="G4" s="67" t="s">
        <v>6</v>
      </c>
      <c r="H4" s="67" t="s">
        <v>6</v>
      </c>
      <c r="I4" s="28" t="s">
        <v>7</v>
      </c>
      <c r="J4" s="60" t="s">
        <v>8</v>
      </c>
      <c r="K4" s="42"/>
      <c r="L4" s="43"/>
    </row>
    <row r="5" spans="1:12" ht="55.5" customHeight="1" x14ac:dyDescent="0.25">
      <c r="B5" s="32" t="str">
        <f>UPPER(TEXT(F6,"mmmm"))</f>
        <v>ЧЕРВЕНЬ</v>
      </c>
      <c r="C5" s="32"/>
      <c r="D5" s="32"/>
      <c r="F5" s="34"/>
      <c r="G5" s="68"/>
      <c r="H5" s="68"/>
      <c r="I5" s="29"/>
      <c r="J5" s="62"/>
      <c r="K5" s="44"/>
      <c r="L5" s="45"/>
    </row>
    <row r="6" spans="1:12" s="5" customFormat="1" ht="19.5" customHeight="1" x14ac:dyDescent="0.3">
      <c r="A6" s="4"/>
      <c r="B6" s="17"/>
      <c r="C6" s="17"/>
      <c r="D6" s="17"/>
      <c r="E6" s="4"/>
      <c r="F6" s="35">
        <f t="array" ref="F6:L6">ДніТаТижні+DATE(КалендарРік,6,1)-WEEKDAY(DATE(КалендарРік,6,1),(ПочатокТижня="ПН")+1)+8</f>
        <v>46181</v>
      </c>
      <c r="G6" s="58">
        <v>46182</v>
      </c>
      <c r="H6" s="58">
        <v>46183</v>
      </c>
      <c r="I6" s="35">
        <v>46184</v>
      </c>
      <c r="J6" s="58">
        <v>46185</v>
      </c>
      <c r="K6" s="35">
        <v>46186</v>
      </c>
      <c r="L6" s="41">
        <v>46187</v>
      </c>
    </row>
    <row r="7" spans="1:12" ht="75" customHeight="1" x14ac:dyDescent="0.25">
      <c r="B7" s="17"/>
      <c r="C7" s="17"/>
      <c r="D7" s="17"/>
      <c r="F7" s="36" t="s">
        <v>5</v>
      </c>
      <c r="G7" s="37" t="s">
        <v>6</v>
      </c>
      <c r="H7" s="37" t="s">
        <v>6</v>
      </c>
      <c r="I7" s="38" t="s">
        <v>7</v>
      </c>
      <c r="J7" s="39" t="s">
        <v>8</v>
      </c>
      <c r="L7" s="47"/>
    </row>
    <row r="8" spans="1:12" s="5" customFormat="1" ht="19.5" customHeight="1" x14ac:dyDescent="0.3">
      <c r="A8" s="4"/>
      <c r="B8" s="17"/>
      <c r="C8" s="17"/>
      <c r="D8" s="17"/>
      <c r="E8" s="4"/>
      <c r="F8" s="35">
        <f t="array" ref="F8:L8">ДніТаТижні+DATE(КалендарРік,6,1)-WEEKDAY(DATE(КалендарРік,6,1),(ПочатокТижня="ПН")+1)+15</f>
        <v>46188</v>
      </c>
      <c r="G8" s="58">
        <v>46189</v>
      </c>
      <c r="H8" s="58">
        <v>46190</v>
      </c>
      <c r="I8" s="35">
        <v>46191</v>
      </c>
      <c r="J8" s="58">
        <v>46192</v>
      </c>
      <c r="K8" s="35">
        <v>46193</v>
      </c>
      <c r="L8" s="41">
        <v>46194</v>
      </c>
    </row>
    <row r="9" spans="1:12" ht="75" customHeight="1" x14ac:dyDescent="0.25">
      <c r="B9" s="17"/>
      <c r="C9" s="17"/>
      <c r="D9" s="17"/>
      <c r="F9" s="36" t="s">
        <v>5</v>
      </c>
      <c r="G9" s="37" t="s">
        <v>6</v>
      </c>
      <c r="H9" s="37" t="s">
        <v>6</v>
      </c>
      <c r="I9" s="38" t="s">
        <v>7</v>
      </c>
      <c r="J9" s="39" t="s">
        <v>8</v>
      </c>
      <c r="L9" s="47"/>
    </row>
    <row r="10" spans="1:12" s="5" customFormat="1" ht="19.5" customHeight="1" x14ac:dyDescent="0.3">
      <c r="A10" s="4"/>
      <c r="B10" s="17"/>
      <c r="C10" s="17"/>
      <c r="D10" s="17"/>
      <c r="E10" s="4"/>
      <c r="F10" s="35">
        <f t="array" ref="F10:L10">ДніТаТижні+DATE(КалендарРік,6,1)-WEEKDAY(DATE(КалендарРік,6,1),(ПочатокТижня="ПН")+1)+22</f>
        <v>46195</v>
      </c>
      <c r="G10" s="58">
        <v>46196</v>
      </c>
      <c r="H10" s="58">
        <v>46197</v>
      </c>
      <c r="I10" s="35">
        <v>46198</v>
      </c>
      <c r="J10" s="58">
        <v>46199</v>
      </c>
      <c r="K10" s="35">
        <v>46200</v>
      </c>
      <c r="L10" s="41">
        <v>46201</v>
      </c>
    </row>
    <row r="11" spans="1:12" ht="75" customHeight="1" x14ac:dyDescent="0.25">
      <c r="B11" s="17"/>
      <c r="C11" s="17"/>
      <c r="D11" s="17"/>
      <c r="F11" s="36" t="s">
        <v>5</v>
      </c>
      <c r="G11" s="37" t="s">
        <v>6</v>
      </c>
      <c r="H11" s="37" t="s">
        <v>6</v>
      </c>
      <c r="I11" s="38" t="s">
        <v>7</v>
      </c>
      <c r="J11" s="39" t="s">
        <v>8</v>
      </c>
      <c r="L11" s="47"/>
    </row>
    <row r="12" spans="1:12" s="5" customFormat="1" ht="19.5" customHeight="1" x14ac:dyDescent="0.3">
      <c r="A12" s="4"/>
      <c r="B12" s="17"/>
      <c r="C12" s="17"/>
      <c r="D12" s="17"/>
      <c r="E12" s="4"/>
      <c r="F12" s="35">
        <f t="array" ref="F12:L12">ДніТаТижні+DATE(КалендарРік,6,1)-WEEKDAY(DATE(КалендарРік,6,1),(ПочатокТижня="ПН")+1)+29</f>
        <v>46202</v>
      </c>
      <c r="G12" s="58">
        <v>46203</v>
      </c>
      <c r="H12" s="58">
        <v>46204</v>
      </c>
      <c r="I12" s="35">
        <v>46205</v>
      </c>
      <c r="J12" s="58">
        <v>46206</v>
      </c>
      <c r="K12" s="35">
        <v>46207</v>
      </c>
      <c r="L12" s="35">
        <v>46208</v>
      </c>
    </row>
    <row r="13" spans="1:12" ht="75" customHeight="1" x14ac:dyDescent="0.25">
      <c r="B13" s="17"/>
      <c r="C13" s="17"/>
      <c r="D13" s="17"/>
      <c r="F13" s="36" t="s">
        <v>5</v>
      </c>
      <c r="G13" s="37" t="s">
        <v>6</v>
      </c>
      <c r="H13" s="69"/>
      <c r="I13" s="48"/>
      <c r="J13" s="69"/>
      <c r="L13" s="47"/>
    </row>
    <row r="14" spans="1:12" s="5" customFormat="1" ht="19.5" customHeight="1" x14ac:dyDescent="0.3">
      <c r="A14" s="4"/>
      <c r="B14" s="17"/>
      <c r="C14" s="17"/>
      <c r="D14" s="17"/>
      <c r="E14" s="4"/>
      <c r="F14" s="35">
        <f t="array" ref="F14:G14">ДніТаТижні+DATE(КалендарРік,6,1)-WEEKDAY(DATE(КалендарРік,6,1),(ПочатокТижня="ПН")+1)+36</f>
        <v>46209</v>
      </c>
      <c r="G14" s="58">
        <v>46210</v>
      </c>
      <c r="H14" s="63" t="s">
        <v>4</v>
      </c>
      <c r="I14" s="52"/>
      <c r="J14" s="52"/>
      <c r="K14" s="52"/>
      <c r="L14" s="53"/>
    </row>
    <row r="15" spans="1:12" ht="75" customHeight="1" x14ac:dyDescent="0.25">
      <c r="B15" s="9"/>
      <c r="C15" s="9"/>
      <c r="D15" s="9"/>
      <c r="F15" s="48"/>
      <c r="G15" s="64"/>
      <c r="H15" s="65"/>
      <c r="I15" s="54"/>
      <c r="J15" s="54"/>
      <c r="K15" s="54"/>
      <c r="L15" s="55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3:F15">
    <cfRule type="expression" dxfId="37" priority="4">
      <formula>F$2="НД"</formula>
    </cfRule>
  </conditionalFormatting>
  <conditionalFormatting sqref="F3:K3 F4:G4 I4:K4">
    <cfRule type="expression" dxfId="36" priority="5">
      <formula>DAY(F3)&gt;8</formula>
    </cfRule>
  </conditionalFormatting>
  <conditionalFormatting sqref="F12:L12 F14:G14">
    <cfRule type="expression" dxfId="35" priority="6">
      <formula>AND(DAY(F12)&gt;=1,DAY(F12)&lt;=15)</formula>
    </cfRule>
  </conditionalFormatting>
  <conditionalFormatting sqref="K3:L4 K6:L13">
    <cfRule type="expression" dxfId="34" priority="3">
      <formula>K$2="СБ"</formula>
    </cfRule>
  </conditionalFormatting>
  <conditionalFormatting sqref="L3:L4 L6:L13">
    <cfRule type="expression" dxfId="33" priority="2">
      <formula>$L$2="НД"</formula>
    </cfRule>
  </conditionalFormatting>
  <conditionalFormatting sqref="H4">
    <cfRule type="expression" dxfId="0" priority="1">
      <formula>DAY(H4)&gt;8</formula>
    </cfRule>
  </conditionalFormatting>
  <printOptions horizontalCentered="1" verticalCentered="1"/>
  <pageMargins left="0.25" right="0.25" top="0.5" bottom="0.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 tint="0.79998168889431442"/>
    <pageSetUpPr autoPageBreaks="0" fitToPage="1"/>
  </sheetPr>
  <dimension ref="A1:L15"/>
  <sheetViews>
    <sheetView showGridLines="0" zoomScaleNormal="100" workbookViewId="0">
      <selection activeCell="F1" sqref="F1:L1048576"/>
    </sheetView>
  </sheetViews>
  <sheetFormatPr defaultColWidth="10" defaultRowHeight="13" x14ac:dyDescent="0.25"/>
  <cols>
    <col min="1" max="1" width="2.54296875" style="1" customWidth="1"/>
    <col min="2" max="2" width="5.453125" style="1" customWidth="1"/>
    <col min="3" max="3" width="10.26953125" style="1" customWidth="1"/>
    <col min="4" max="4" width="5.453125" style="1" customWidth="1"/>
    <col min="5" max="5" width="3.7265625" style="1" customWidth="1"/>
    <col min="6" max="6" width="18.453125" style="46" customWidth="1"/>
    <col min="7" max="8" width="18.453125" style="66" customWidth="1"/>
    <col min="9" max="9" width="18.453125" style="46" customWidth="1"/>
    <col min="10" max="10" width="18.453125" style="66" customWidth="1"/>
    <col min="11" max="12" width="18.453125" style="46" customWidth="1"/>
    <col min="13" max="13" width="2.7265625" customWidth="1"/>
    <col min="14" max="14" width="10" customWidth="1"/>
  </cols>
  <sheetData>
    <row r="1" spans="1:12" ht="15" customHeight="1" x14ac:dyDescent="0.25">
      <c r="B1" s="9"/>
      <c r="C1" s="23">
        <f>КалендарРік</f>
        <v>2026</v>
      </c>
      <c r="D1" s="9"/>
    </row>
    <row r="2" spans="1:12" s="3" customFormat="1" ht="35.25" customHeight="1" x14ac:dyDescent="0.3">
      <c r="A2" s="2"/>
      <c r="B2" s="10"/>
      <c r="C2" s="23"/>
      <c r="D2" s="10"/>
      <c r="E2" s="2"/>
      <c r="F2" s="40" t="str">
        <f>UPPER(TEXT(ПочатокТижня,"ddd"))</f>
        <v>ПН</v>
      </c>
      <c r="G2" s="57" t="str">
        <f t="shared" ref="G2:L2" si="0">UPPER(TEXT(G3,"ddd"))</f>
        <v>ВТ</v>
      </c>
      <c r="H2" s="57" t="str">
        <f t="shared" si="0"/>
        <v>СР</v>
      </c>
      <c r="I2" s="40" t="str">
        <f t="shared" si="0"/>
        <v>ЧТ</v>
      </c>
      <c r="J2" s="57" t="str">
        <f t="shared" si="0"/>
        <v>ПТ</v>
      </c>
      <c r="K2" s="40" t="str">
        <f t="shared" si="0"/>
        <v>СБ</v>
      </c>
      <c r="L2" s="40" t="str">
        <f t="shared" si="0"/>
        <v>НД</v>
      </c>
    </row>
    <row r="3" spans="1:12" s="5" customFormat="1" ht="19.5" customHeight="1" x14ac:dyDescent="0.3">
      <c r="A3" s="4"/>
      <c r="B3" s="11"/>
      <c r="C3" s="23"/>
      <c r="D3" s="11"/>
      <c r="E3" s="4"/>
      <c r="F3" s="35">
        <f t="array" ref="F3:L3">ДніТаТижні+DATE(КалендарРік,7,1)-WEEKDAY(DATE(КалендарРік,7,1),(ПочатокТижня="ПН")+1)+1</f>
        <v>46202</v>
      </c>
      <c r="G3" s="58">
        <v>46203</v>
      </c>
      <c r="H3" s="58">
        <v>46204</v>
      </c>
      <c r="I3" s="35">
        <v>46205</v>
      </c>
      <c r="J3" s="58">
        <v>46206</v>
      </c>
      <c r="K3" s="35">
        <v>46207</v>
      </c>
      <c r="L3" s="41">
        <v>46208</v>
      </c>
    </row>
    <row r="4" spans="1:12" s="5" customFormat="1" ht="19.5" customHeight="1" x14ac:dyDescent="0.25">
      <c r="A4" s="4"/>
      <c r="B4" s="11"/>
      <c r="C4" s="23"/>
      <c r="D4" s="11"/>
      <c r="E4" s="4"/>
      <c r="F4" s="24"/>
      <c r="G4" s="59"/>
      <c r="H4" s="67" t="s">
        <v>6</v>
      </c>
      <c r="I4" s="28" t="s">
        <v>7</v>
      </c>
      <c r="J4" s="60" t="s">
        <v>8</v>
      </c>
      <c r="K4" s="42"/>
      <c r="L4" s="43"/>
    </row>
    <row r="5" spans="1:12" ht="55.5" customHeight="1" x14ac:dyDescent="0.25">
      <c r="B5" s="32" t="str">
        <f>UPPER(TEXT(F6,"mmmm"))</f>
        <v>ЛИПЕНЬ</v>
      </c>
      <c r="C5" s="32"/>
      <c r="D5" s="32"/>
      <c r="F5" s="25"/>
      <c r="G5" s="61"/>
      <c r="H5" s="68"/>
      <c r="I5" s="29"/>
      <c r="J5" s="62"/>
      <c r="K5" s="44"/>
      <c r="L5" s="45"/>
    </row>
    <row r="6" spans="1:12" s="5" customFormat="1" ht="19.5" customHeight="1" x14ac:dyDescent="0.3">
      <c r="A6" s="4"/>
      <c r="B6" s="17"/>
      <c r="C6" s="17"/>
      <c r="D6" s="17"/>
      <c r="E6" s="4"/>
      <c r="F6" s="35">
        <f t="array" ref="F6:L6">ДніТаТижні+DATE(КалендарРік,7,1)-WEEKDAY(DATE(КалендарРік,7,1),(ПочатокТижня="ПН")+1)+8</f>
        <v>46209</v>
      </c>
      <c r="G6" s="58">
        <v>46210</v>
      </c>
      <c r="H6" s="58">
        <v>46211</v>
      </c>
      <c r="I6" s="35">
        <v>46212</v>
      </c>
      <c r="J6" s="58">
        <v>46213</v>
      </c>
      <c r="K6" s="35">
        <v>46214</v>
      </c>
      <c r="L6" s="41">
        <v>46215</v>
      </c>
    </row>
    <row r="7" spans="1:12" ht="75" customHeight="1" x14ac:dyDescent="0.25">
      <c r="B7" s="17"/>
      <c r="C7" s="17"/>
      <c r="D7" s="17"/>
      <c r="F7" s="36" t="s">
        <v>5</v>
      </c>
      <c r="G7" s="37" t="s">
        <v>6</v>
      </c>
      <c r="H7" s="37" t="s">
        <v>6</v>
      </c>
      <c r="I7" s="38" t="s">
        <v>7</v>
      </c>
      <c r="J7" s="39" t="s">
        <v>8</v>
      </c>
      <c r="L7" s="47"/>
    </row>
    <row r="8" spans="1:12" s="5" customFormat="1" ht="19.5" customHeight="1" x14ac:dyDescent="0.3">
      <c r="A8" s="4"/>
      <c r="B8" s="17"/>
      <c r="C8" s="17"/>
      <c r="D8" s="17"/>
      <c r="E8" s="4"/>
      <c r="F8" s="35">
        <f t="array" ref="F8:L8">ДніТаТижні+DATE(КалендарРік,7,1)-WEEKDAY(DATE(КалендарРік,7,1),(ПочатокТижня="ПН")+1)+15</f>
        <v>46216</v>
      </c>
      <c r="G8" s="58">
        <v>46217</v>
      </c>
      <c r="H8" s="58">
        <v>46218</v>
      </c>
      <c r="I8" s="35">
        <v>46219</v>
      </c>
      <c r="J8" s="58">
        <v>46220</v>
      </c>
      <c r="K8" s="35">
        <v>46221</v>
      </c>
      <c r="L8" s="41">
        <v>46222</v>
      </c>
    </row>
    <row r="9" spans="1:12" ht="75" customHeight="1" x14ac:dyDescent="0.25">
      <c r="B9" s="17"/>
      <c r="C9" s="17"/>
      <c r="D9" s="17"/>
      <c r="F9" s="36" t="s">
        <v>5</v>
      </c>
      <c r="G9" s="37" t="s">
        <v>6</v>
      </c>
      <c r="H9" s="37" t="s">
        <v>6</v>
      </c>
      <c r="I9" s="38" t="s">
        <v>7</v>
      </c>
      <c r="J9" s="39" t="s">
        <v>8</v>
      </c>
      <c r="L9" s="47"/>
    </row>
    <row r="10" spans="1:12" s="5" customFormat="1" ht="19.5" customHeight="1" x14ac:dyDescent="0.3">
      <c r="A10" s="4"/>
      <c r="B10" s="17"/>
      <c r="C10" s="17"/>
      <c r="D10" s="17"/>
      <c r="E10" s="4"/>
      <c r="F10" s="35">
        <f t="array" ref="F10:L10">ДніТаТижні+DATE(КалендарРік,7,1)-WEEKDAY(DATE(КалендарРік,7,1),(ПочатокТижня="ПН")+1)+22</f>
        <v>46223</v>
      </c>
      <c r="G10" s="58">
        <v>46224</v>
      </c>
      <c r="H10" s="58">
        <v>46225</v>
      </c>
      <c r="I10" s="35">
        <v>46226</v>
      </c>
      <c r="J10" s="58">
        <v>46227</v>
      </c>
      <c r="K10" s="35">
        <v>46228</v>
      </c>
      <c r="L10" s="41">
        <v>46229</v>
      </c>
    </row>
    <row r="11" spans="1:12" ht="75" customHeight="1" x14ac:dyDescent="0.25">
      <c r="B11" s="17"/>
      <c r="C11" s="17"/>
      <c r="D11" s="17"/>
      <c r="F11" s="36" t="s">
        <v>5</v>
      </c>
      <c r="G11" s="37" t="s">
        <v>6</v>
      </c>
      <c r="H11" s="37" t="s">
        <v>6</v>
      </c>
      <c r="I11" s="38" t="s">
        <v>7</v>
      </c>
      <c r="J11" s="39" t="s">
        <v>8</v>
      </c>
      <c r="L11" s="47"/>
    </row>
    <row r="12" spans="1:12" s="5" customFormat="1" ht="19.5" customHeight="1" x14ac:dyDescent="0.3">
      <c r="A12" s="4"/>
      <c r="B12" s="17"/>
      <c r="C12" s="17"/>
      <c r="D12" s="17"/>
      <c r="E12" s="4"/>
      <c r="F12" s="35">
        <f t="array" ref="F12:L12">ДніТаТижні+DATE(КалендарРік,7,1)-WEEKDAY(DATE(КалендарРік,7,1),(ПочатокТижня="ПН")+1)+29</f>
        <v>46230</v>
      </c>
      <c r="G12" s="58">
        <v>46231</v>
      </c>
      <c r="H12" s="58">
        <v>46232</v>
      </c>
      <c r="I12" s="35">
        <v>46233</v>
      </c>
      <c r="J12" s="58">
        <v>46234</v>
      </c>
      <c r="K12" s="35">
        <v>46235</v>
      </c>
      <c r="L12" s="35">
        <v>46236</v>
      </c>
    </row>
    <row r="13" spans="1:12" ht="75" customHeight="1" x14ac:dyDescent="0.25">
      <c r="B13" s="17"/>
      <c r="C13" s="17"/>
      <c r="D13" s="17"/>
      <c r="F13" s="36" t="s">
        <v>5</v>
      </c>
      <c r="G13" s="37" t="s">
        <v>6</v>
      </c>
      <c r="H13" s="37" t="s">
        <v>6</v>
      </c>
      <c r="I13" s="38" t="s">
        <v>7</v>
      </c>
      <c r="J13" s="39" t="s">
        <v>8</v>
      </c>
      <c r="L13" s="47"/>
    </row>
    <row r="14" spans="1:12" s="5" customFormat="1" ht="19.5" customHeight="1" x14ac:dyDescent="0.3">
      <c r="A14" s="4"/>
      <c r="B14" s="17"/>
      <c r="C14" s="17"/>
      <c r="D14" s="17"/>
      <c r="E14" s="4"/>
      <c r="F14" s="35">
        <f t="array" ref="F14:G14">ДніТаТижні+DATE(КалендарРік,7,1)-WEEKDAY(DATE(КалендарРік,7,1),(ПочатокТижня="ПН")+1)+36</f>
        <v>46237</v>
      </c>
      <c r="G14" s="58">
        <v>46238</v>
      </c>
      <c r="H14" s="63" t="s">
        <v>4</v>
      </c>
      <c r="I14" s="52"/>
      <c r="J14" s="52"/>
      <c r="K14" s="52"/>
      <c r="L14" s="53"/>
    </row>
    <row r="15" spans="1:12" ht="75" customHeight="1" x14ac:dyDescent="0.25">
      <c r="B15" s="9"/>
      <c r="C15" s="9"/>
      <c r="D15" s="9"/>
      <c r="F15" s="48"/>
      <c r="G15" s="69"/>
      <c r="H15" s="65"/>
      <c r="I15" s="54"/>
      <c r="J15" s="54"/>
      <c r="K15" s="54"/>
      <c r="L15" s="55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3:F15">
    <cfRule type="expression" dxfId="32" priority="3">
      <formula>F$2="НД"</formula>
    </cfRule>
  </conditionalFormatting>
  <conditionalFormatting sqref="F3:K4">
    <cfRule type="expression" dxfId="31" priority="4">
      <formula>DAY(F3)&gt;8</formula>
    </cfRule>
  </conditionalFormatting>
  <conditionalFormatting sqref="F12:L12 F14:G14">
    <cfRule type="expression" dxfId="30" priority="5">
      <formula>AND(DAY(F12)&gt;=1,DAY(F12)&lt;=15)</formula>
    </cfRule>
  </conditionalFormatting>
  <conditionalFormatting sqref="K3:L4 K6:L13">
    <cfRule type="expression" dxfId="29" priority="2">
      <formula>K$2="СБ"</formula>
    </cfRule>
  </conditionalFormatting>
  <conditionalFormatting sqref="L3:L4 L6:L13">
    <cfRule type="expression" dxfId="28" priority="1">
      <formula>$L$2="НД"</formula>
    </cfRule>
  </conditionalFormatting>
  <printOptions horizontalCentered="1" verticalCentered="1"/>
  <pageMargins left="0.25" right="0.25" top="0.5" bottom="0.5" header="0.3" footer="0.3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3" tint="0.59999389629810485"/>
    <pageSetUpPr autoPageBreaks="0" fitToPage="1"/>
  </sheetPr>
  <dimension ref="A1:L15"/>
  <sheetViews>
    <sheetView showGridLines="0" zoomScaleNormal="100" workbookViewId="0">
      <selection activeCell="F1" sqref="F1:L1048576"/>
    </sheetView>
  </sheetViews>
  <sheetFormatPr defaultColWidth="10" defaultRowHeight="13" x14ac:dyDescent="0.25"/>
  <cols>
    <col min="1" max="1" width="2.54296875" style="1" customWidth="1"/>
    <col min="2" max="2" width="5.453125" style="1" customWidth="1"/>
    <col min="3" max="3" width="10.26953125" style="1" customWidth="1"/>
    <col min="4" max="4" width="5.453125" style="1" customWidth="1"/>
    <col min="5" max="5" width="3.7265625" style="1" customWidth="1"/>
    <col min="6" max="6" width="18.453125" style="46" customWidth="1"/>
    <col min="7" max="8" width="18.453125" style="66" customWidth="1"/>
    <col min="9" max="9" width="18.453125" style="70" customWidth="1"/>
    <col min="10" max="10" width="18.453125" style="66" customWidth="1"/>
    <col min="11" max="12" width="18.453125" style="46" customWidth="1"/>
    <col min="13" max="13" width="2.7265625" customWidth="1"/>
    <col min="14" max="14" width="10" customWidth="1"/>
  </cols>
  <sheetData>
    <row r="1" spans="1:12" ht="15" customHeight="1" x14ac:dyDescent="0.25">
      <c r="B1" s="9"/>
      <c r="C1" s="23">
        <f>КалендарРік</f>
        <v>2026</v>
      </c>
      <c r="D1" s="9"/>
    </row>
    <row r="2" spans="1:12" s="3" customFormat="1" ht="35.25" customHeight="1" x14ac:dyDescent="0.3">
      <c r="A2" s="2"/>
      <c r="B2" s="10"/>
      <c r="C2" s="23"/>
      <c r="D2" s="10"/>
      <c r="E2" s="2"/>
      <c r="F2" s="40" t="str">
        <f>UPPER(TEXT(ПочатокТижня,"ddd"))</f>
        <v>ПН</v>
      </c>
      <c r="G2" s="57" t="str">
        <f t="shared" ref="G2:L2" si="0">UPPER(TEXT(G3,"ddd"))</f>
        <v>ВТ</v>
      </c>
      <c r="H2" s="57" t="str">
        <f t="shared" si="0"/>
        <v>СР</v>
      </c>
      <c r="I2" s="71" t="str">
        <f t="shared" si="0"/>
        <v>ЧТ</v>
      </c>
      <c r="J2" s="57" t="str">
        <f t="shared" si="0"/>
        <v>ПТ</v>
      </c>
      <c r="K2" s="40" t="str">
        <f t="shared" si="0"/>
        <v>СБ</v>
      </c>
      <c r="L2" s="40" t="str">
        <f t="shared" si="0"/>
        <v>НД</v>
      </c>
    </row>
    <row r="3" spans="1:12" s="5" customFormat="1" ht="19.5" customHeight="1" x14ac:dyDescent="0.3">
      <c r="A3" s="4"/>
      <c r="B3" s="11"/>
      <c r="C3" s="23"/>
      <c r="D3" s="11"/>
      <c r="E3" s="4"/>
      <c r="F3" s="35">
        <f t="array" ref="F3:L3">ДніТаТижні+DATE(КалендарРік,8,1)-WEEKDAY(DATE(КалендарРік,8,1),(ПочатокТижня="ПН")+1)+1</f>
        <v>46230</v>
      </c>
      <c r="G3" s="58">
        <v>46231</v>
      </c>
      <c r="H3" s="58">
        <v>46232</v>
      </c>
      <c r="I3" s="72">
        <v>46233</v>
      </c>
      <c r="J3" s="58">
        <v>46234</v>
      </c>
      <c r="K3" s="35">
        <v>46235</v>
      </c>
      <c r="L3" s="41">
        <v>46236</v>
      </c>
    </row>
    <row r="4" spans="1:12" s="5" customFormat="1" ht="19.5" customHeight="1" x14ac:dyDescent="0.25">
      <c r="A4" s="4"/>
      <c r="B4" s="11"/>
      <c r="C4" s="23"/>
      <c r="D4" s="11"/>
      <c r="E4" s="4"/>
      <c r="F4" s="24"/>
      <c r="G4" s="59"/>
      <c r="H4" s="59"/>
      <c r="I4" s="73"/>
      <c r="J4" s="59"/>
      <c r="K4" s="42"/>
      <c r="L4" s="43"/>
    </row>
    <row r="5" spans="1:12" ht="55.5" customHeight="1" x14ac:dyDescent="0.25">
      <c r="B5" s="32" t="str">
        <f>UPPER(TEXT(F6,"mmmm"))</f>
        <v>СЕРПЕНЬ</v>
      </c>
      <c r="C5" s="32"/>
      <c r="D5" s="32"/>
      <c r="F5" s="25"/>
      <c r="G5" s="61"/>
      <c r="H5" s="61"/>
      <c r="I5" s="74"/>
      <c r="J5" s="61"/>
      <c r="K5" s="44"/>
      <c r="L5" s="45"/>
    </row>
    <row r="6" spans="1:12" s="5" customFormat="1" ht="19.5" customHeight="1" x14ac:dyDescent="0.3">
      <c r="A6" s="4"/>
      <c r="B6" s="17"/>
      <c r="C6" s="17"/>
      <c r="D6" s="17"/>
      <c r="E6" s="4"/>
      <c r="F6" s="35">
        <f t="array" ref="F6:L6">ДніТаТижні+DATE(КалендарРік,8,1)-WEEKDAY(DATE(КалендарРік,8,1),(ПочатокТижня="ПН")+1)+8</f>
        <v>46237</v>
      </c>
      <c r="G6" s="58">
        <v>46238</v>
      </c>
      <c r="H6" s="58">
        <v>46239</v>
      </c>
      <c r="I6" s="72">
        <v>46240</v>
      </c>
      <c r="J6" s="58">
        <v>46241</v>
      </c>
      <c r="K6" s="35">
        <v>46242</v>
      </c>
      <c r="L6" s="41">
        <v>46243</v>
      </c>
    </row>
    <row r="7" spans="1:12" ht="75" customHeight="1" x14ac:dyDescent="0.25">
      <c r="B7" s="17"/>
      <c r="C7" s="17"/>
      <c r="D7" s="17"/>
      <c r="F7" s="36" t="s">
        <v>5</v>
      </c>
      <c r="G7" s="37" t="s">
        <v>6</v>
      </c>
      <c r="H7" s="37" t="s">
        <v>6</v>
      </c>
      <c r="I7" s="75" t="s">
        <v>7</v>
      </c>
      <c r="J7" s="39" t="s">
        <v>8</v>
      </c>
      <c r="L7" s="47"/>
    </row>
    <row r="8" spans="1:12" s="5" customFormat="1" ht="19.5" customHeight="1" x14ac:dyDescent="0.3">
      <c r="A8" s="4"/>
      <c r="B8" s="17"/>
      <c r="C8" s="17"/>
      <c r="D8" s="17"/>
      <c r="E8" s="4"/>
      <c r="F8" s="35">
        <f t="array" ref="F8:L8">ДніТаТижні+DATE(КалендарРік,8,1)-WEEKDAY(DATE(КалендарРік,8,1),(ПочатокТижня="ПН")+1)+15</f>
        <v>46244</v>
      </c>
      <c r="G8" s="58">
        <v>46245</v>
      </c>
      <c r="H8" s="58">
        <v>46246</v>
      </c>
      <c r="I8" s="72">
        <v>46247</v>
      </c>
      <c r="J8" s="58">
        <v>46248</v>
      </c>
      <c r="K8" s="35">
        <v>46249</v>
      </c>
      <c r="L8" s="41">
        <v>46250</v>
      </c>
    </row>
    <row r="9" spans="1:12" ht="75" customHeight="1" x14ac:dyDescent="0.25">
      <c r="B9" s="17"/>
      <c r="C9" s="17"/>
      <c r="D9" s="17"/>
      <c r="F9" s="36" t="s">
        <v>5</v>
      </c>
      <c r="G9" s="37" t="s">
        <v>6</v>
      </c>
      <c r="H9" s="37" t="s">
        <v>6</v>
      </c>
      <c r="I9" s="75" t="s">
        <v>7</v>
      </c>
      <c r="J9" s="39" t="s">
        <v>8</v>
      </c>
      <c r="L9" s="47"/>
    </row>
    <row r="10" spans="1:12" s="5" customFormat="1" ht="19.5" customHeight="1" x14ac:dyDescent="0.3">
      <c r="A10" s="4"/>
      <c r="B10" s="17"/>
      <c r="C10" s="17"/>
      <c r="D10" s="17"/>
      <c r="E10" s="4"/>
      <c r="F10" s="35">
        <f t="array" ref="F10:L10">ДніТаТижні+DATE(КалендарРік,8,1)-WEEKDAY(DATE(КалендарРік,8,1),(ПочатокТижня="ПН")+1)+22</f>
        <v>46251</v>
      </c>
      <c r="G10" s="58">
        <v>46252</v>
      </c>
      <c r="H10" s="58">
        <v>46253</v>
      </c>
      <c r="I10" s="72">
        <v>46254</v>
      </c>
      <c r="J10" s="58">
        <v>46255</v>
      </c>
      <c r="K10" s="35">
        <v>46256</v>
      </c>
      <c r="L10" s="41">
        <v>46257</v>
      </c>
    </row>
    <row r="11" spans="1:12" ht="75" customHeight="1" x14ac:dyDescent="0.25">
      <c r="B11" s="17"/>
      <c r="C11" s="17"/>
      <c r="D11" s="17"/>
      <c r="F11" s="36" t="s">
        <v>5</v>
      </c>
      <c r="G11" s="37" t="s">
        <v>6</v>
      </c>
      <c r="H11" s="37" t="s">
        <v>6</v>
      </c>
      <c r="I11" s="75" t="s">
        <v>7</v>
      </c>
      <c r="J11" s="39" t="s">
        <v>8</v>
      </c>
      <c r="L11" s="47"/>
    </row>
    <row r="12" spans="1:12" s="5" customFormat="1" ht="19.5" customHeight="1" x14ac:dyDescent="0.3">
      <c r="A12" s="4"/>
      <c r="B12" s="17"/>
      <c r="C12" s="17"/>
      <c r="D12" s="17"/>
      <c r="E12" s="4"/>
      <c r="F12" s="35">
        <f t="array" ref="F12:L12">ДніТаТижні+DATE(КалендарРік,8,1)-WEEKDAY(DATE(КалендарРік,8,1),(ПочатокТижня="ПН")+1)+29</f>
        <v>46258</v>
      </c>
      <c r="G12" s="58">
        <v>46259</v>
      </c>
      <c r="H12" s="58">
        <v>46260</v>
      </c>
      <c r="I12" s="72">
        <v>46261</v>
      </c>
      <c r="J12" s="58">
        <v>46262</v>
      </c>
      <c r="K12" s="35">
        <v>46263</v>
      </c>
      <c r="L12" s="35">
        <v>46264</v>
      </c>
    </row>
    <row r="13" spans="1:12" ht="75" customHeight="1" x14ac:dyDescent="0.25">
      <c r="B13" s="17"/>
      <c r="C13" s="17"/>
      <c r="D13" s="17"/>
      <c r="F13" s="36" t="s">
        <v>5</v>
      </c>
      <c r="G13" s="37" t="s">
        <v>6</v>
      </c>
      <c r="H13" s="37" t="s">
        <v>6</v>
      </c>
      <c r="I13" s="75" t="s">
        <v>7</v>
      </c>
      <c r="J13" s="39" t="s">
        <v>8</v>
      </c>
      <c r="L13" s="47"/>
    </row>
    <row r="14" spans="1:12" s="5" customFormat="1" ht="19.5" customHeight="1" x14ac:dyDescent="0.3">
      <c r="A14" s="4"/>
      <c r="B14" s="17"/>
      <c r="C14" s="17"/>
      <c r="D14" s="17"/>
      <c r="E14" s="4"/>
      <c r="F14" s="35">
        <f t="array" ref="F14:G14">ДніТаТижні+DATE(КалендарРік,8,1)-WEEKDAY(DATE(КалендарРік,8,1),(ПочатокТижня="ПН")+1)+36</f>
        <v>46265</v>
      </c>
      <c r="G14" s="58">
        <v>46266</v>
      </c>
      <c r="H14" s="63" t="s">
        <v>4</v>
      </c>
      <c r="I14" s="52"/>
      <c r="J14" s="52"/>
      <c r="K14" s="52"/>
      <c r="L14" s="53"/>
    </row>
    <row r="15" spans="1:12" ht="75" customHeight="1" x14ac:dyDescent="0.25">
      <c r="B15" s="9"/>
      <c r="C15" s="9"/>
      <c r="D15" s="9"/>
      <c r="F15" s="36" t="s">
        <v>5</v>
      </c>
      <c r="G15" s="64"/>
      <c r="H15" s="65"/>
      <c r="I15" s="54"/>
      <c r="J15" s="54"/>
      <c r="K15" s="54"/>
      <c r="L15" s="55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3:F15">
    <cfRule type="expression" dxfId="27" priority="3">
      <formula>F$2="НД"</formula>
    </cfRule>
  </conditionalFormatting>
  <conditionalFormatting sqref="F3:K4">
    <cfRule type="expression" dxfId="26" priority="4">
      <formula>DAY(F3)&gt;8</formula>
    </cfRule>
  </conditionalFormatting>
  <conditionalFormatting sqref="F12:L12 F14:G14">
    <cfRule type="expression" dxfId="25" priority="5">
      <formula>AND(DAY(F12)&gt;=1,DAY(F12)&lt;=15)</formula>
    </cfRule>
  </conditionalFormatting>
  <conditionalFormatting sqref="K3:L4 K6:L13">
    <cfRule type="expression" dxfId="24" priority="2">
      <formula>K$2="СБ"</formula>
    </cfRule>
  </conditionalFormatting>
  <conditionalFormatting sqref="L3:L4 L6:L13">
    <cfRule type="expression" dxfId="23" priority="1">
      <formula>$L$2="НД"</formula>
    </cfRule>
  </conditionalFormatting>
  <printOptions horizontalCentered="1" verticalCentered="1"/>
  <pageMargins left="0.25" right="0.25" top="0.5" bottom="0.5" header="0.3" footer="0.3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15</vt:i4>
      </vt:variant>
      <vt:variant>
        <vt:lpstr>Именованные диапазоны</vt:lpstr>
      </vt:variant>
      <vt:variant>
        <vt:i4>14</vt:i4>
      </vt:variant>
    </vt:vector>
  </HeadingPairs>
  <TitlesOfParts>
    <vt:vector size="29" baseType="lpstr">
      <vt:lpstr>Січень</vt:lpstr>
      <vt:lpstr>Лютий</vt:lpstr>
      <vt:lpstr>Березень</vt:lpstr>
      <vt:lpstr>Квітень</vt:lpstr>
      <vt:lpstr>Травень</vt:lpstr>
      <vt:lpstr>Аркуш3</vt:lpstr>
      <vt:lpstr>Червень</vt:lpstr>
      <vt:lpstr>Липень</vt:lpstr>
      <vt:lpstr>Серпень</vt:lpstr>
      <vt:lpstr>Вересень</vt:lpstr>
      <vt:lpstr>Аркуш1</vt:lpstr>
      <vt:lpstr>Жовтень</vt:lpstr>
      <vt:lpstr>Листопад</vt:lpstr>
      <vt:lpstr>Грудень</vt:lpstr>
      <vt:lpstr>Аркуш2</vt:lpstr>
      <vt:lpstr>КалендарРік</vt:lpstr>
      <vt:lpstr>Березень!Область_печати</vt:lpstr>
      <vt:lpstr>Вересень!Область_печати</vt:lpstr>
      <vt:lpstr>Грудень!Область_печати</vt:lpstr>
      <vt:lpstr>Жовтень!Область_печати</vt:lpstr>
      <vt:lpstr>Квітень!Область_печати</vt:lpstr>
      <vt:lpstr>Липень!Область_печати</vt:lpstr>
      <vt:lpstr>Листопад!Область_печати</vt:lpstr>
      <vt:lpstr>Лютий!Область_печати</vt:lpstr>
      <vt:lpstr>Серпень!Область_печати</vt:lpstr>
      <vt:lpstr>Січень!Область_печати</vt:lpstr>
      <vt:lpstr>Травень!Область_печати</vt:lpstr>
      <vt:lpstr>Червень!Область_печати</vt:lpstr>
      <vt:lpstr>ПочатокТижня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W10</cp:lastModifiedBy>
  <cp:revision/>
  <dcterms:created xsi:type="dcterms:W3CDTF">2019-04-09T17:19:32Z</dcterms:created>
  <dcterms:modified xsi:type="dcterms:W3CDTF">2026-03-23T10:35:19Z</dcterms:modified>
  <cp:category/>
  <cp:contentStatus/>
</cp:coreProperties>
</file>