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60" tabRatio="823" firstSheet="3" activeTab="13"/>
  </bookViews>
  <sheets>
    <sheet name="Січень" sheetId="1" r:id="rId1"/>
    <sheet name="Лютий" sheetId="2" r:id="rId2"/>
    <sheet name="Березень" sheetId="3" r:id="rId3"/>
    <sheet name="Квітень" sheetId="4" r:id="rId4"/>
    <sheet name="Травень" sheetId="5" r:id="rId5"/>
    <sheet name="Аркуш3" sheetId="15" r:id="rId6"/>
    <sheet name="Червень" sheetId="6" r:id="rId7"/>
    <sheet name="Липень" sheetId="7" r:id="rId8"/>
    <sheet name="Серпень" sheetId="8" r:id="rId9"/>
    <sheet name="Вересень" sheetId="9" r:id="rId10"/>
    <sheet name="Аркуш1" sheetId="13" r:id="rId11"/>
    <sheet name="Жовтень" sheetId="10" r:id="rId12"/>
    <sheet name="Листопад" sheetId="11" r:id="rId13"/>
    <sheet name="Грудень" sheetId="12" r:id="rId14"/>
    <sheet name="Аркуш2" sheetId="14" r:id="rId15"/>
  </sheets>
  <definedNames>
    <definedName name="ДніТаТижні">{0,1,2,3,4,5,6} + {0;1;2;3;4;5}*7</definedName>
    <definedName name="КалендарРік">Січень!$O$3</definedName>
    <definedName name="_xlnm.Print_Area" localSheetId="2">Березень!$A$1:$M$15</definedName>
    <definedName name="_xlnm.Print_Area" localSheetId="9">Вересень!$A$1:$M$15</definedName>
    <definedName name="_xlnm.Print_Area" localSheetId="13">Грудень!$A$1:$M$15</definedName>
    <definedName name="_xlnm.Print_Area" localSheetId="11">Жовтень!$A$1:$M$15</definedName>
    <definedName name="_xlnm.Print_Area" localSheetId="3">Квітень!$A$1:$M$15</definedName>
    <definedName name="_xlnm.Print_Area" localSheetId="7">Липень!$A$1:$M$15</definedName>
    <definedName name="_xlnm.Print_Area" localSheetId="12">Листопад!$A$1:$M$15</definedName>
    <definedName name="_xlnm.Print_Area" localSheetId="1">Лютий!$A$1:$M$15</definedName>
    <definedName name="_xlnm.Print_Area" localSheetId="8">Серпень!$A$1:$M$15</definedName>
    <definedName name="_xlnm.Print_Area" localSheetId="0">Січень!$A$1:$M$15</definedName>
    <definedName name="_xlnm.Print_Area" localSheetId="4">Травень!$A$1:$M$15</definedName>
    <definedName name="_xlnm.Print_Area" localSheetId="6">Червень!$A$1:$M$15</definedName>
    <definedName name="ПочатокТижня">Січень!$O$4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5" l="1"/>
  <c r="C1" i="1" l="1"/>
  <c r="F14" i="2" a="1"/>
  <c r="G14" i="2"/>
  <c r="F14" i="2"/>
  <c r="F12" i="2" a="1"/>
  <c r="G12" i="2"/>
  <c r="H12" i="2"/>
  <c r="K12" i="2"/>
  <c r="L12" i="2"/>
  <c r="J12" i="2"/>
  <c r="F10" i="2" a="1"/>
  <c r="G10" i="2"/>
  <c r="H10" i="2"/>
  <c r="K10" i="2"/>
  <c r="L10" i="2"/>
  <c r="J10" i="2"/>
  <c r="F8" i="2" a="1"/>
  <c r="G8" i="2"/>
  <c r="H8" i="2"/>
  <c r="K8" i="2"/>
  <c r="L8" i="2"/>
  <c r="J8" i="2"/>
  <c r="F6" i="2" a="1"/>
  <c r="G6" i="2"/>
  <c r="H6" i="2"/>
  <c r="K6" i="2"/>
  <c r="L6" i="2"/>
  <c r="J6" i="2"/>
  <c r="F3" i="2" a="1"/>
  <c r="G3" i="2"/>
  <c r="H3" i="2"/>
  <c r="K3" i="2"/>
  <c r="L3" i="2"/>
  <c r="L2" i="2" s="1"/>
  <c r="J3" i="2"/>
  <c r="J2" i="2" s="1"/>
  <c r="F14" i="3" a="1"/>
  <c r="F14" i="3"/>
  <c r="G14" i="3"/>
  <c r="F12" i="3" a="1"/>
  <c r="F12" i="3"/>
  <c r="G12" i="3"/>
  <c r="H12" i="3"/>
  <c r="J12" i="3"/>
  <c r="K12" i="3"/>
  <c r="L12" i="3"/>
  <c r="I12" i="3"/>
  <c r="F10" i="3" a="1"/>
  <c r="F10" i="3"/>
  <c r="G10" i="3"/>
  <c r="H10" i="3"/>
  <c r="J10" i="3"/>
  <c r="K10" i="3"/>
  <c r="L10" i="3"/>
  <c r="I10" i="3"/>
  <c r="F8" i="3" a="1"/>
  <c r="F8" i="3"/>
  <c r="G8" i="3"/>
  <c r="H8" i="3"/>
  <c r="J8" i="3"/>
  <c r="K8" i="3"/>
  <c r="L8" i="3"/>
  <c r="I8" i="3"/>
  <c r="F6" i="3" a="1"/>
  <c r="F6" i="3"/>
  <c r="G6" i="3"/>
  <c r="H6" i="3"/>
  <c r="J6" i="3"/>
  <c r="K6" i="3"/>
  <c r="L6" i="3"/>
  <c r="I6" i="3"/>
  <c r="F3" i="3" a="1"/>
  <c r="F3" i="3"/>
  <c r="G3" i="3"/>
  <c r="H3" i="3"/>
  <c r="H2" i="3" s="1"/>
  <c r="J3" i="3"/>
  <c r="K3" i="3"/>
  <c r="L3" i="3"/>
  <c r="I3" i="3"/>
  <c r="I2" i="3" s="1"/>
  <c r="F14" i="4" a="1"/>
  <c r="G14" i="4"/>
  <c r="F12" i="4" a="1"/>
  <c r="I12" i="4"/>
  <c r="J12" i="4"/>
  <c r="F10" i="4" a="1"/>
  <c r="I10" i="4"/>
  <c r="J10" i="4"/>
  <c r="F8" i="4" a="1"/>
  <c r="I8" i="4"/>
  <c r="J8" i="4"/>
  <c r="F6" i="4" a="1"/>
  <c r="I6" i="4"/>
  <c r="J6" i="4"/>
  <c r="F3" i="4" a="1"/>
  <c r="I3" i="4"/>
  <c r="I2" i="4" s="1"/>
  <c r="J3" i="4"/>
  <c r="J2" i="4" s="1"/>
  <c r="F14" i="5" a="1"/>
  <c r="F12" i="5" a="1"/>
  <c r="L12" i="5"/>
  <c r="H12" i="5"/>
  <c r="F10" i="5" a="1"/>
  <c r="L10" i="5"/>
  <c r="F8" i="5" a="1"/>
  <c r="L8" i="5"/>
  <c r="H8" i="5"/>
  <c r="F6" i="5" a="1"/>
  <c r="L6" i="5"/>
  <c r="F3" i="5" a="1"/>
  <c r="L3" i="5"/>
  <c r="H3" i="5"/>
  <c r="F14" i="6" a="1"/>
  <c r="G14" i="6"/>
  <c r="F14" i="6"/>
  <c r="F12" i="6" a="1"/>
  <c r="G12" i="6"/>
  <c r="H12" i="6"/>
  <c r="K12" i="6"/>
  <c r="L12" i="6"/>
  <c r="J12" i="6"/>
  <c r="F10" i="6" a="1"/>
  <c r="G10" i="6"/>
  <c r="H10" i="6"/>
  <c r="K10" i="6"/>
  <c r="L10" i="6"/>
  <c r="J10" i="6"/>
  <c r="F8" i="6" a="1"/>
  <c r="G8" i="6"/>
  <c r="H8" i="6"/>
  <c r="K8" i="6"/>
  <c r="L8" i="6"/>
  <c r="J8" i="6"/>
  <c r="F6" i="6" a="1"/>
  <c r="G6" i="6"/>
  <c r="H6" i="6"/>
  <c r="K6" i="6"/>
  <c r="L6" i="6"/>
  <c r="J6" i="6"/>
  <c r="F3" i="6" a="1"/>
  <c r="G3" i="6"/>
  <c r="H3" i="6"/>
  <c r="K3" i="6"/>
  <c r="L3" i="6"/>
  <c r="J3" i="6"/>
  <c r="F14" i="7" a="1"/>
  <c r="F14" i="7"/>
  <c r="G14" i="7"/>
  <c r="F12" i="7" a="1"/>
  <c r="F12" i="7"/>
  <c r="G12" i="7"/>
  <c r="H12" i="7"/>
  <c r="J12" i="7"/>
  <c r="K12" i="7"/>
  <c r="L12" i="7"/>
  <c r="I12" i="7"/>
  <c r="F10" i="7" a="1"/>
  <c r="F10" i="7"/>
  <c r="G10" i="7"/>
  <c r="H10" i="7"/>
  <c r="J10" i="7"/>
  <c r="K10" i="7"/>
  <c r="L10" i="7"/>
  <c r="I10" i="7"/>
  <c r="F8" i="7" a="1"/>
  <c r="F8" i="7"/>
  <c r="G8" i="7"/>
  <c r="H8" i="7"/>
  <c r="J8" i="7"/>
  <c r="K8" i="7"/>
  <c r="L8" i="7"/>
  <c r="I8" i="7"/>
  <c r="F6" i="7" a="1"/>
  <c r="F6" i="7"/>
  <c r="G6" i="7"/>
  <c r="H6" i="7"/>
  <c r="J6" i="7"/>
  <c r="K6" i="7"/>
  <c r="L6" i="7"/>
  <c r="I6" i="7"/>
  <c r="F3" i="7" a="1"/>
  <c r="F3" i="7"/>
  <c r="G3" i="7"/>
  <c r="J3" i="7"/>
  <c r="J2" i="7" s="1"/>
  <c r="K3" i="7"/>
  <c r="K2" i="7" s="1"/>
  <c r="I3" i="7"/>
  <c r="I2" i="7" s="1"/>
  <c r="F14" i="8" a="1"/>
  <c r="G14" i="8"/>
  <c r="F12" i="8" a="1"/>
  <c r="F10" i="8" a="1"/>
  <c r="F8" i="8" a="1"/>
  <c r="I8" i="8"/>
  <c r="F6" i="8" a="1"/>
  <c r="F3" i="8" a="1"/>
  <c r="F14" i="9" a="1"/>
  <c r="F12" i="9" a="1"/>
  <c r="H12" i="9"/>
  <c r="I12" i="9"/>
  <c r="L12" i="9"/>
  <c r="F10" i="9" a="1"/>
  <c r="H10" i="9"/>
  <c r="I10" i="9"/>
  <c r="L10" i="9"/>
  <c r="F8" i="9" a="1"/>
  <c r="H8" i="9"/>
  <c r="I8" i="9"/>
  <c r="L8" i="9"/>
  <c r="F6" i="9" a="1"/>
  <c r="H6" i="9"/>
  <c r="I6" i="9"/>
  <c r="L6" i="9"/>
  <c r="F3" i="9" a="1"/>
  <c r="H3" i="9"/>
  <c r="I3" i="9"/>
  <c r="L3" i="9"/>
  <c r="F14" i="10" a="1"/>
  <c r="G14" i="10"/>
  <c r="F14" i="10"/>
  <c r="F12" i="10" a="1"/>
  <c r="G12" i="10"/>
  <c r="H12" i="10"/>
  <c r="L12" i="10"/>
  <c r="I12" i="10"/>
  <c r="F10" i="10" a="1"/>
  <c r="I10" i="10"/>
  <c r="L10" i="10"/>
  <c r="F8" i="10" a="1"/>
  <c r="G8" i="10"/>
  <c r="H8" i="10"/>
  <c r="L8" i="10"/>
  <c r="I8" i="10"/>
  <c r="F6" i="10" a="1"/>
  <c r="I6" i="10"/>
  <c r="F3" i="10" a="1"/>
  <c r="G3" i="10"/>
  <c r="H3" i="10"/>
  <c r="L3" i="10"/>
  <c r="L2" i="10" s="1"/>
  <c r="I3" i="10"/>
  <c r="F14" i="11" a="1"/>
  <c r="G14" i="11"/>
  <c r="F12" i="11" a="1"/>
  <c r="L12" i="11"/>
  <c r="F10" i="11" a="1"/>
  <c r="L10" i="11"/>
  <c r="F8" i="11" a="1"/>
  <c r="L8" i="11"/>
  <c r="F6" i="11" a="1"/>
  <c r="L6" i="11"/>
  <c r="F3" i="11" a="1"/>
  <c r="L3" i="11"/>
  <c r="F14" i="12" a="1"/>
  <c r="G14" i="12"/>
  <c r="F12" i="12" a="1"/>
  <c r="H12" i="12"/>
  <c r="L12" i="12"/>
  <c r="K12" i="12"/>
  <c r="F10" i="12" a="1"/>
  <c r="H10" i="12"/>
  <c r="L10" i="12"/>
  <c r="K10" i="12"/>
  <c r="F8" i="12" a="1"/>
  <c r="H8" i="12"/>
  <c r="L8" i="12"/>
  <c r="K8" i="12"/>
  <c r="F6" i="12" a="1"/>
  <c r="H6" i="12"/>
  <c r="L6" i="12"/>
  <c r="K6" i="12"/>
  <c r="F3" i="12" a="1"/>
  <c r="H3" i="12"/>
  <c r="H2" i="12" s="1"/>
  <c r="L3" i="12"/>
  <c r="K3" i="12"/>
  <c r="F14" i="1" a="1"/>
  <c r="F14" i="1"/>
  <c r="G14" i="1"/>
  <c r="F12" i="1" a="1"/>
  <c r="F12" i="1"/>
  <c r="G12" i="1"/>
  <c r="H12" i="1"/>
  <c r="J12" i="1"/>
  <c r="K12" i="1"/>
  <c r="L12" i="1"/>
  <c r="I12" i="1"/>
  <c r="F10" i="1" a="1"/>
  <c r="F10" i="1"/>
  <c r="G10" i="1"/>
  <c r="H10" i="1"/>
  <c r="J10" i="1"/>
  <c r="K10" i="1"/>
  <c r="L10" i="1"/>
  <c r="I10" i="1"/>
  <c r="F8" i="1" a="1"/>
  <c r="G8" i="1"/>
  <c r="H8" i="1"/>
  <c r="K8" i="1"/>
  <c r="L8" i="1"/>
  <c r="J8" i="1"/>
  <c r="F6" i="1" a="1"/>
  <c r="G6" i="1"/>
  <c r="H6" i="1"/>
  <c r="K6" i="1"/>
  <c r="L6" i="1"/>
  <c r="J6" i="1"/>
  <c r="F3" i="1" a="1"/>
  <c r="G3" i="1"/>
  <c r="G2" i="1" s="1"/>
  <c r="H3" i="1"/>
  <c r="K3" i="1"/>
  <c r="L3" i="1"/>
  <c r="L2" i="1" s="1"/>
  <c r="J3" i="1"/>
  <c r="J2" i="1" s="1"/>
  <c r="F2" i="4"/>
  <c r="F2" i="5"/>
  <c r="F2" i="6"/>
  <c r="F2" i="7"/>
  <c r="F2" i="8"/>
  <c r="F2" i="9"/>
  <c r="F2" i="10"/>
  <c r="F2" i="11"/>
  <c r="F2" i="12"/>
  <c r="F2" i="1"/>
  <c r="F2" i="2"/>
  <c r="F2" i="3"/>
  <c r="C1" i="3"/>
  <c r="C1" i="4"/>
  <c r="C1" i="6"/>
  <c r="C1" i="7"/>
  <c r="C1" i="8"/>
  <c r="C1" i="9"/>
  <c r="C1" i="10"/>
  <c r="C1" i="11"/>
  <c r="C1" i="12"/>
  <c r="C1" i="2"/>
  <c r="I3" i="11"/>
  <c r="I2" i="11" s="1"/>
  <c r="I10" i="11"/>
  <c r="L3" i="8"/>
  <c r="H3" i="8"/>
  <c r="K3" i="8"/>
  <c r="K2" i="8" s="1"/>
  <c r="G3" i="8"/>
  <c r="G2" i="8" s="1"/>
  <c r="L10" i="8"/>
  <c r="H10" i="8"/>
  <c r="K10" i="8"/>
  <c r="G10" i="8"/>
  <c r="I3" i="12"/>
  <c r="I2" i="12" s="1"/>
  <c r="F3" i="11"/>
  <c r="J3" i="11"/>
  <c r="J2" i="11" s="1"/>
  <c r="F6" i="11"/>
  <c r="J6" i="11"/>
  <c r="F8" i="11"/>
  <c r="J8" i="11"/>
  <c r="F10" i="11"/>
  <c r="J10" i="11"/>
  <c r="F12" i="11"/>
  <c r="J12" i="11"/>
  <c r="F14" i="11"/>
  <c r="I6" i="11"/>
  <c r="I12" i="11"/>
  <c r="L6" i="8"/>
  <c r="H6" i="8"/>
  <c r="K6" i="8"/>
  <c r="G6" i="8"/>
  <c r="L12" i="8"/>
  <c r="H12" i="8"/>
  <c r="K12" i="8"/>
  <c r="G12" i="8"/>
  <c r="I10" i="12"/>
  <c r="I12" i="12"/>
  <c r="J6" i="10"/>
  <c r="F6" i="10"/>
  <c r="K6" i="10"/>
  <c r="K10" i="10"/>
  <c r="F3" i="8"/>
  <c r="F6" i="8"/>
  <c r="F8" i="8"/>
  <c r="F10" i="8"/>
  <c r="F12" i="8"/>
  <c r="F14" i="8"/>
  <c r="K6" i="5"/>
  <c r="G6" i="5"/>
  <c r="J6" i="5"/>
  <c r="F6" i="5"/>
  <c r="B5" i="5" s="1"/>
  <c r="K10" i="5"/>
  <c r="G10" i="5"/>
  <c r="J10" i="5"/>
  <c r="F10" i="5"/>
  <c r="G14" i="5"/>
  <c r="F14" i="5"/>
  <c r="I6" i="1"/>
  <c r="I8" i="1"/>
  <c r="F3" i="12"/>
  <c r="J3" i="12"/>
  <c r="J2" i="12" s="1"/>
  <c r="F6" i="12"/>
  <c r="B5" i="12" s="1"/>
  <c r="J6" i="12"/>
  <c r="F8" i="12"/>
  <c r="J8" i="12"/>
  <c r="F10" i="12"/>
  <c r="J10" i="12"/>
  <c r="F12" i="12"/>
  <c r="J12" i="12"/>
  <c r="F14" i="12"/>
  <c r="G3" i="11"/>
  <c r="K3" i="11"/>
  <c r="K2" i="11" s="1"/>
  <c r="G6" i="11"/>
  <c r="K6" i="11"/>
  <c r="G8" i="11"/>
  <c r="K8" i="11"/>
  <c r="G10" i="11"/>
  <c r="K10" i="11"/>
  <c r="G12" i="11"/>
  <c r="K12" i="11"/>
  <c r="G6" i="10"/>
  <c r="L6" i="10"/>
  <c r="G10" i="10"/>
  <c r="I3" i="8"/>
  <c r="I6" i="8"/>
  <c r="I10" i="8"/>
  <c r="I12" i="8"/>
  <c r="H6" i="5"/>
  <c r="H10" i="5"/>
  <c r="L3" i="4"/>
  <c r="L2" i="4" s="1"/>
  <c r="H3" i="4"/>
  <c r="K3" i="4"/>
  <c r="K2" i="4" s="1"/>
  <c r="G3" i="4"/>
  <c r="L6" i="4"/>
  <c r="H6" i="4"/>
  <c r="K6" i="4"/>
  <c r="G6" i="4"/>
  <c r="L8" i="4"/>
  <c r="H8" i="4"/>
  <c r="K8" i="4"/>
  <c r="G8" i="4"/>
  <c r="L10" i="4"/>
  <c r="H10" i="4"/>
  <c r="K10" i="4"/>
  <c r="G10" i="4"/>
  <c r="L12" i="4"/>
  <c r="H12" i="4"/>
  <c r="K12" i="4"/>
  <c r="G12" i="4"/>
  <c r="I8" i="11"/>
  <c r="L8" i="8"/>
  <c r="H8" i="8"/>
  <c r="K8" i="8"/>
  <c r="G8" i="8"/>
  <c r="I6" i="12"/>
  <c r="I8" i="12"/>
  <c r="J10" i="10"/>
  <c r="F10" i="10"/>
  <c r="K3" i="5"/>
  <c r="G3" i="5"/>
  <c r="G2" i="5" s="1"/>
  <c r="J3" i="5"/>
  <c r="F3" i="5"/>
  <c r="K8" i="5"/>
  <c r="G8" i="5"/>
  <c r="J8" i="5"/>
  <c r="F8" i="5"/>
  <c r="K12" i="5"/>
  <c r="G12" i="5"/>
  <c r="J12" i="5"/>
  <c r="F12" i="5"/>
  <c r="I3" i="1"/>
  <c r="F3" i="1"/>
  <c r="F6" i="1"/>
  <c r="B5" i="1" s="1"/>
  <c r="F8" i="1"/>
  <c r="G3" i="12"/>
  <c r="G2" i="12" s="1"/>
  <c r="G6" i="12"/>
  <c r="G8" i="12"/>
  <c r="G10" i="12"/>
  <c r="G12" i="12"/>
  <c r="H3" i="11"/>
  <c r="H2" i="11" s="1"/>
  <c r="H6" i="11"/>
  <c r="H8" i="11"/>
  <c r="H10" i="11"/>
  <c r="H12" i="11"/>
  <c r="J3" i="10"/>
  <c r="J2" i="10" s="1"/>
  <c r="F3" i="10"/>
  <c r="K3" i="10"/>
  <c r="K2" i="10" s="1"/>
  <c r="H6" i="10"/>
  <c r="J8" i="10"/>
  <c r="F8" i="10"/>
  <c r="K8" i="10"/>
  <c r="H10" i="10"/>
  <c r="J12" i="10"/>
  <c r="F12" i="10"/>
  <c r="K12" i="10"/>
  <c r="K3" i="9"/>
  <c r="K2" i="9" s="1"/>
  <c r="G3" i="9"/>
  <c r="G2" i="9" s="1"/>
  <c r="J3" i="9"/>
  <c r="F3" i="9"/>
  <c r="K6" i="9"/>
  <c r="G6" i="9"/>
  <c r="J6" i="9"/>
  <c r="F6" i="9"/>
  <c r="K8" i="9"/>
  <c r="G8" i="9"/>
  <c r="J8" i="9"/>
  <c r="F8" i="9"/>
  <c r="K10" i="9"/>
  <c r="G10" i="9"/>
  <c r="J10" i="9"/>
  <c r="F10" i="9"/>
  <c r="K12" i="9"/>
  <c r="G12" i="9"/>
  <c r="J12" i="9"/>
  <c r="F12" i="9"/>
  <c r="G14" i="9"/>
  <c r="F14" i="9"/>
  <c r="J3" i="8"/>
  <c r="J6" i="8"/>
  <c r="J8" i="8"/>
  <c r="J10" i="8"/>
  <c r="J12" i="8"/>
  <c r="I3" i="5"/>
  <c r="I2" i="5" s="1"/>
  <c r="I6" i="5"/>
  <c r="I8" i="5"/>
  <c r="I10" i="5"/>
  <c r="I12" i="5"/>
  <c r="F3" i="4"/>
  <c r="F6" i="4"/>
  <c r="B5" i="4" s="1"/>
  <c r="F8" i="4"/>
  <c r="F10" i="4"/>
  <c r="F12" i="4"/>
  <c r="F14" i="4"/>
  <c r="H3" i="7"/>
  <c r="L3" i="7"/>
  <c r="L2" i="7" s="1"/>
  <c r="I3" i="6"/>
  <c r="I2" i="6" s="1"/>
  <c r="I6" i="6"/>
  <c r="I8" i="6"/>
  <c r="I10" i="6"/>
  <c r="I12" i="6"/>
  <c r="I3" i="2"/>
  <c r="I2" i="2" s="1"/>
  <c r="I6" i="2"/>
  <c r="I8" i="2"/>
  <c r="I10" i="2"/>
  <c r="I12" i="2"/>
  <c r="F3" i="6"/>
  <c r="F6" i="6"/>
  <c r="B5" i="6" s="1"/>
  <c r="F8" i="6"/>
  <c r="F10" i="6"/>
  <c r="F12" i="6"/>
  <c r="F3" i="2"/>
  <c r="F6" i="2"/>
  <c r="B5" i="2" s="1"/>
  <c r="F8" i="2"/>
  <c r="F10" i="2"/>
  <c r="F12" i="2"/>
  <c r="L2" i="6"/>
  <c r="L2" i="3"/>
  <c r="H2" i="9"/>
  <c r="L2" i="12"/>
  <c r="L2" i="9"/>
  <c r="J2" i="9"/>
  <c r="B5" i="9"/>
  <c r="H2" i="7"/>
  <c r="B5" i="7"/>
  <c r="J2" i="8"/>
  <c r="B5" i="8"/>
  <c r="H2" i="8"/>
  <c r="L2" i="8"/>
  <c r="B5" i="11"/>
  <c r="I2" i="10"/>
  <c r="H2" i="10"/>
  <c r="B5" i="10"/>
  <c r="I2" i="9"/>
  <c r="I2" i="8"/>
  <c r="K2" i="6"/>
  <c r="H2" i="6"/>
  <c r="J2" i="6"/>
  <c r="K2" i="5"/>
  <c r="H2" i="5"/>
  <c r="J2" i="5"/>
  <c r="H2" i="4"/>
  <c r="L2" i="11"/>
  <c r="K2" i="12"/>
  <c r="L2" i="5"/>
  <c r="K2" i="3"/>
  <c r="J2" i="3"/>
  <c r="B5" i="3"/>
  <c r="K2" i="2"/>
  <c r="H2" i="2"/>
  <c r="G2" i="3"/>
  <c r="G2" i="11"/>
  <c r="G2" i="2"/>
  <c r="G2" i="10"/>
  <c r="G2" i="6"/>
  <c r="G2" i="4"/>
  <c r="G2" i="7"/>
  <c r="K2" i="1"/>
  <c r="I2" i="1"/>
  <c r="H2" i="1"/>
</calcChain>
</file>

<file path=xl/sharedStrings.xml><?xml version="1.0" encoding="utf-8"?>
<sst xmlns="http://schemas.openxmlformats.org/spreadsheetml/2006/main" count="277" uniqueCount="9">
  <si>
    <t>НАСТРОЙКИ КАЛЕНДАРЯ</t>
  </si>
  <si>
    <t>РІК</t>
  </si>
  <si>
    <t>ПЕРШИЙ ДЕНЬ ТИЖНЯ</t>
  </si>
  <si>
    <t>ПН</t>
  </si>
  <si>
    <t>НОТАТКИ:</t>
  </si>
  <si>
    <t>Учасники освітнього процесу ЛНУ ім. Івана Франка</t>
  </si>
  <si>
    <t>Учасники Центру</t>
  </si>
  <si>
    <t>Інші (установи, організації, фізичні особи)</t>
  </si>
  <si>
    <t>Робота зі студентами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</si>
</sst>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"/>
    <numFmt numFmtId="165" formatCode="ddd"/>
    <numFmt numFmtId="166" formatCode="[$-F800]dddd\,\ mmmm\ dd\,\ yyyy"/>
  </numFmts>
  <fonts count="17" x14ac:knownFonts="1">
    <font>
      <sz val="10"/>
      <color theme="1" tint="4.9989318521683403E-2"/>
      <name val="Century Gothic"/>
      <family val="2"/>
      <scheme val="minor"/>
    </font>
    <font>
      <sz val="12"/>
      <color theme="1" tint="4.9989318521683403E-2"/>
      <name val="Century Gothic"/>
      <family val="2"/>
      <scheme val="minor"/>
    </font>
    <font>
      <sz val="10"/>
      <name val="Century Gothic"/>
      <family val="2"/>
    </font>
    <font>
      <sz val="9"/>
      <color theme="1" tint="4.9989318521683403E-2"/>
      <name val="Century Gothic"/>
      <family val="2"/>
      <scheme val="minor"/>
    </font>
    <font>
      <sz val="36"/>
      <color theme="0"/>
      <name val="Century Gothic"/>
      <family val="2"/>
      <scheme val="major"/>
    </font>
    <font>
      <sz val="12"/>
      <color theme="0"/>
      <name val="Century Gothic"/>
      <family val="2"/>
      <scheme val="major"/>
    </font>
    <font>
      <sz val="16"/>
      <color theme="0"/>
      <name val="Century Gothic"/>
      <family val="2"/>
      <scheme val="major"/>
    </font>
    <font>
      <sz val="40"/>
      <color theme="0"/>
      <name val="Century Gothic"/>
      <family val="2"/>
      <scheme val="major"/>
    </font>
    <font>
      <sz val="16"/>
      <color theme="0"/>
      <name val="Century Gothic"/>
      <family val="1"/>
      <scheme val="major"/>
    </font>
    <font>
      <sz val="18"/>
      <color theme="0"/>
      <name val="Century Gothic"/>
      <family val="2"/>
      <scheme val="minor"/>
    </font>
    <font>
      <sz val="11"/>
      <color theme="3"/>
      <name val="Century Gothic"/>
      <family val="2"/>
      <scheme val="minor"/>
    </font>
    <font>
      <b/>
      <sz val="10"/>
      <color theme="1" tint="4.9989318521683403E-2"/>
      <name val="Times New Roman"/>
    </font>
    <font>
      <b/>
      <sz val="12"/>
      <color theme="0"/>
      <name val="Times New Roman"/>
    </font>
    <font>
      <b/>
      <sz val="11"/>
      <color theme="3"/>
      <name val="Times New Roman"/>
    </font>
    <font>
      <b/>
      <sz val="9"/>
      <color theme="1" tint="4.9989318521683403E-2"/>
      <name val="Times New Roman"/>
    </font>
    <font>
      <b/>
      <sz val="10"/>
      <color theme="1" tint="4.9989318521683403E-2"/>
      <name val="Times New Roman"/>
      <family val="1"/>
      <charset val="204"/>
    </font>
    <font>
      <b/>
      <sz val="10"/>
      <color theme="1" tint="4.9989318521683403E-2"/>
      <name val="Century Gothic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gradientFill>
        <stop position="0">
          <color theme="3"/>
        </stop>
        <stop position="0.5">
          <color theme="3" tint="0.40000610370189521"/>
        </stop>
        <stop position="1">
          <color theme="3"/>
        </stop>
      </gradientFill>
    </fill>
    <fill>
      <gradientFill degree="90">
        <stop position="0">
          <color theme="3"/>
        </stop>
        <stop position="0.5">
          <color theme="3" tint="0.40000610370189521"/>
        </stop>
        <stop position="1">
          <color theme="3"/>
        </stop>
      </gradientFill>
    </fill>
    <fill>
      <patternFill patternType="solid">
        <fgColor theme="3"/>
        <bgColor auto="1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8">
    <xf numFmtId="0" fontId="0" fillId="0" borderId="0">
      <alignment vertical="center"/>
    </xf>
    <xf numFmtId="0" fontId="4" fillId="4" borderId="0" applyNumberFormat="0" applyBorder="0" applyAlignment="0" applyProtection="0"/>
    <xf numFmtId="0" fontId="8" fillId="3" borderId="0" applyNumberFormat="0" applyProtection="0">
      <alignment horizontal="center"/>
    </xf>
    <xf numFmtId="0" fontId="9" fillId="8" borderId="0" applyProtection="0">
      <alignment horizontal="center" vertical="top"/>
    </xf>
    <xf numFmtId="0" fontId="5" fillId="9" borderId="0" applyNumberFormat="0" applyAlignment="0" applyProtection="0"/>
    <xf numFmtId="0" fontId="10" fillId="0" borderId="0" applyNumberFormat="0" applyFill="0" applyBorder="0" applyAlignment="0" applyProtection="0"/>
    <xf numFmtId="164" fontId="3" fillId="0" borderId="5" applyNumberFormat="0" applyBorder="0" applyProtection="0">
      <alignment horizontal="left" vertical="center" wrapText="1" indent="1"/>
    </xf>
    <xf numFmtId="0" fontId="6" fillId="3" borderId="0" applyProtection="0">
      <alignment horizontal="center"/>
    </xf>
  </cellStyleXfs>
  <cellXfs count="85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>
      <alignment vertical="center"/>
    </xf>
    <xf numFmtId="165" fontId="1" fillId="0" borderId="0" xfId="0" applyNumberFormat="1" applyFont="1" applyAlignment="1">
      <alignment horizontal="right" vertical="top"/>
    </xf>
    <xf numFmtId="0" fontId="0" fillId="2" borderId="0" xfId="0" applyFill="1" applyAlignment="1">
      <alignment horizontal="right"/>
    </xf>
    <xf numFmtId="0" fontId="0" fillId="0" borderId="3" xfId="0" applyBorder="1" applyAlignment="1">
      <alignment horizontal="left" vertical="center" wrapText="1" indent="1"/>
    </xf>
    <xf numFmtId="0" fontId="0" fillId="4" borderId="0" xfId="0" applyFill="1">
      <alignment vertical="center"/>
    </xf>
    <xf numFmtId="0" fontId="2" fillId="4" borderId="0" xfId="0" applyFont="1" applyFill="1">
      <alignment vertical="center"/>
    </xf>
    <xf numFmtId="0" fontId="0" fillId="4" borderId="0" xfId="0" applyFill="1" applyAlignment="1">
      <alignment horizontal="left" indent="1"/>
    </xf>
    <xf numFmtId="0" fontId="5" fillId="9" borderId="0" xfId="4" applyAlignment="1">
      <alignment horizontal="left" indent="1"/>
    </xf>
    <xf numFmtId="164" fontId="10" fillId="0" borderId="1" xfId="5" applyNumberFormat="1" applyFill="1" applyBorder="1" applyAlignment="1">
      <alignment horizontal="left" wrapText="1" indent="1"/>
    </xf>
    <xf numFmtId="164" fontId="10" fillId="5" borderId="2" xfId="5" applyNumberFormat="1" applyFill="1" applyBorder="1" applyAlignment="1">
      <alignment horizontal="left" wrapText="1" indent="1"/>
    </xf>
    <xf numFmtId="164" fontId="10" fillId="5" borderId="1" xfId="5" applyNumberFormat="1" applyFill="1" applyBorder="1" applyAlignment="1">
      <alignment horizontal="left" wrapText="1" indent="1"/>
    </xf>
    <xf numFmtId="0" fontId="5" fillId="9" borderId="0" xfId="4" applyAlignment="1">
      <alignment horizontal="left" vertical="center" indent="1"/>
    </xf>
    <xf numFmtId="0" fontId="5" fillId="9" borderId="0" xfId="4" applyAlignment="1">
      <alignment horizontal="left" vertical="top" indent="1"/>
    </xf>
    <xf numFmtId="0" fontId="0" fillId="0" borderId="3" xfId="0" applyBorder="1">
      <alignment vertical="center"/>
    </xf>
    <xf numFmtId="166" fontId="0" fillId="0" borderId="0" xfId="0" applyNumberFormat="1">
      <alignment vertical="center"/>
    </xf>
    <xf numFmtId="0" fontId="11" fillId="10" borderId="2" xfId="0" applyFont="1" applyFill="1" applyBorder="1" applyAlignment="1">
      <alignment horizontal="left" vertical="center" wrapText="1" indent="1"/>
    </xf>
    <xf numFmtId="0" fontId="11" fillId="12" borderId="2" xfId="0" applyFont="1" applyFill="1" applyBorder="1" applyAlignment="1">
      <alignment horizontal="left" vertical="center" wrapText="1" indent="1"/>
    </xf>
    <xf numFmtId="0" fontId="11" fillId="13" borderId="2" xfId="0" applyFont="1" applyFill="1" applyBorder="1" applyAlignment="1">
      <alignment horizontal="left" vertical="center" wrapText="1" indent="1"/>
    </xf>
    <xf numFmtId="0" fontId="11" fillId="11" borderId="2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2" fillId="9" borderId="0" xfId="4" applyFont="1" applyAlignment="1">
      <alignment horizontal="center"/>
    </xf>
    <xf numFmtId="164" fontId="13" fillId="0" borderId="1" xfId="5" applyNumberFormat="1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9" borderId="0" xfId="4" applyFont="1" applyAlignment="1">
      <alignment horizontal="left"/>
    </xf>
    <xf numFmtId="164" fontId="13" fillId="0" borderId="1" xfId="5" applyNumberFormat="1" applyFont="1" applyFill="1" applyBorder="1" applyAlignment="1">
      <alignment horizontal="left" wrapText="1"/>
    </xf>
    <xf numFmtId="0" fontId="11" fillId="13" borderId="2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12" fillId="9" borderId="0" xfId="4" applyFont="1" applyAlignment="1">
      <alignment horizontal="left" indent="1"/>
    </xf>
    <xf numFmtId="164" fontId="13" fillId="0" borderId="1" xfId="5" applyNumberFormat="1" applyFont="1" applyFill="1" applyBorder="1" applyAlignment="1">
      <alignment horizontal="left" wrapText="1" indent="1"/>
    </xf>
    <xf numFmtId="0" fontId="11" fillId="0" borderId="2" xfId="0" applyFont="1" applyFill="1" applyBorder="1" applyAlignment="1">
      <alignment horizontal="left" vertical="center" wrapText="1" indent="1"/>
    </xf>
    <xf numFmtId="0" fontId="7" fillId="7" borderId="0" xfId="0" applyFont="1" applyFill="1" applyAlignment="1">
      <alignment horizontal="center" vertical="top" textRotation="90"/>
    </xf>
    <xf numFmtId="164" fontId="3" fillId="0" borderId="4" xfId="6" applyNumberFormat="1" applyBorder="1" applyAlignment="1">
      <alignment horizontal="right" vertical="center" wrapText="1" indent="1"/>
    </xf>
    <xf numFmtId="164" fontId="3" fillId="0" borderId="7" xfId="6" applyNumberFormat="1" applyBorder="1" applyAlignment="1">
      <alignment horizontal="right" vertical="center" wrapText="1" indent="1"/>
    </xf>
    <xf numFmtId="164" fontId="3" fillId="0" borderId="5" xfId="6" applyNumberFormat="1" applyBorder="1" applyAlignment="1">
      <alignment horizontal="left" vertical="center" wrapText="1" indent="1"/>
    </xf>
    <xf numFmtId="164" fontId="3" fillId="0" borderId="6" xfId="6" applyNumberFormat="1" applyBorder="1" applyAlignment="1">
      <alignment horizontal="left" vertical="center" wrapText="1" indent="1"/>
    </xf>
    <xf numFmtId="164" fontId="3" fillId="0" borderId="8" xfId="6" applyNumberFormat="1" applyBorder="1" applyAlignment="1">
      <alignment horizontal="left" vertical="center" wrapText="1" indent="1"/>
    </xf>
    <xf numFmtId="164" fontId="3" fillId="0" borderId="9" xfId="6" applyNumberFormat="1" applyBorder="1" applyAlignment="1">
      <alignment horizontal="left" vertical="center" wrapText="1" indent="1"/>
    </xf>
    <xf numFmtId="0" fontId="5" fillId="6" borderId="0" xfId="0" applyFont="1" applyFill="1" applyAlignment="1">
      <alignment horizontal="center" vertical="center"/>
    </xf>
    <xf numFmtId="0" fontId="6" fillId="3" borderId="0" xfId="7" applyAlignment="1">
      <alignment horizontal="center"/>
    </xf>
    <xf numFmtId="164" fontId="0" fillId="0" borderId="2" xfId="0" applyNumberFormat="1" applyBorder="1" applyAlignment="1">
      <alignment horizontal="left" vertical="center" wrapText="1" indent="1"/>
    </xf>
    <xf numFmtId="164" fontId="0" fillId="0" borderId="3" xfId="0" applyNumberFormat="1" applyBorder="1" applyAlignment="1">
      <alignment horizontal="left" vertical="center" wrapText="1" indent="1"/>
    </xf>
    <xf numFmtId="164" fontId="0" fillId="5" borderId="2" xfId="0" applyNumberFormat="1" applyFill="1" applyBorder="1" applyAlignment="1">
      <alignment horizontal="left" vertical="center" wrapText="1" indent="1"/>
    </xf>
    <xf numFmtId="164" fontId="0" fillId="5" borderId="3" xfId="0" applyNumberFormat="1" applyFill="1" applyBorder="1" applyAlignment="1">
      <alignment horizontal="left" vertical="center" wrapText="1" indent="1"/>
    </xf>
    <xf numFmtId="164" fontId="15" fillId="10" borderId="2" xfId="0" applyNumberFormat="1" applyFont="1" applyFill="1" applyBorder="1" applyAlignment="1">
      <alignment horizontal="left" vertical="center" wrapText="1" indent="1"/>
    </xf>
    <xf numFmtId="164" fontId="15" fillId="12" borderId="2" xfId="0" applyNumberFormat="1" applyFont="1" applyFill="1" applyBorder="1" applyAlignment="1">
      <alignment horizontal="left" vertical="center" wrapText="1" indent="1"/>
    </xf>
    <xf numFmtId="164" fontId="15" fillId="12" borderId="3" xfId="0" applyNumberFormat="1" applyFont="1" applyFill="1" applyBorder="1" applyAlignment="1">
      <alignment horizontal="left" vertical="center" wrapText="1" indent="1"/>
    </xf>
    <xf numFmtId="164" fontId="15" fillId="13" borderId="2" xfId="0" applyNumberFormat="1" applyFont="1" applyFill="1" applyBorder="1" applyAlignment="1">
      <alignment horizontal="left" vertical="center" wrapText="1" indent="1"/>
    </xf>
    <xf numFmtId="164" fontId="15" fillId="13" borderId="3" xfId="0" applyNumberFormat="1" applyFont="1" applyFill="1" applyBorder="1" applyAlignment="1">
      <alignment horizontal="left" vertical="center" wrapText="1" indent="1"/>
    </xf>
    <xf numFmtId="164" fontId="15" fillId="11" borderId="2" xfId="0" applyNumberFormat="1" applyFont="1" applyFill="1" applyBorder="1" applyAlignment="1">
      <alignment horizontal="left" vertical="center" wrapText="1" indent="1"/>
    </xf>
    <xf numFmtId="164" fontId="15" fillId="11" borderId="3" xfId="0" applyNumberFormat="1" applyFont="1" applyFill="1" applyBorder="1" applyAlignment="1">
      <alignment horizontal="left" vertical="center" wrapText="1" indent="1"/>
    </xf>
    <xf numFmtId="0" fontId="9" fillId="8" borderId="0" xfId="3" applyAlignment="1">
      <alignment horizontal="center" vertical="top"/>
    </xf>
    <xf numFmtId="164" fontId="14" fillId="0" borderId="4" xfId="6" applyNumberFormat="1" applyFont="1" applyBorder="1" applyAlignment="1">
      <alignment horizontal="center" vertical="center" wrapText="1"/>
    </xf>
    <xf numFmtId="164" fontId="14" fillId="0" borderId="7" xfId="6" applyNumberFormat="1" applyFont="1" applyBorder="1" applyAlignment="1">
      <alignment horizontal="center" vertical="center" wrapText="1"/>
    </xf>
    <xf numFmtId="164" fontId="11" fillId="12" borderId="2" xfId="0" applyNumberFormat="1" applyFont="1" applyFill="1" applyBorder="1" applyAlignment="1">
      <alignment horizontal="center" vertical="center" wrapText="1"/>
    </xf>
    <xf numFmtId="164" fontId="11" fillId="12" borderId="3" xfId="0" applyNumberFormat="1" applyFont="1" applyFill="1" applyBorder="1" applyAlignment="1">
      <alignment horizontal="center" vertical="center" wrapText="1"/>
    </xf>
    <xf numFmtId="164" fontId="11" fillId="13" borderId="2" xfId="0" applyNumberFormat="1" applyFont="1" applyFill="1" applyBorder="1" applyAlignment="1">
      <alignment horizontal="left" vertical="center" wrapText="1" indent="1"/>
    </xf>
    <xf numFmtId="164" fontId="11" fillId="13" borderId="3" xfId="0" applyNumberFormat="1" applyFont="1" applyFill="1" applyBorder="1" applyAlignment="1">
      <alignment horizontal="left" vertical="center" wrapText="1" indent="1"/>
    </xf>
    <xf numFmtId="164" fontId="11" fillId="11" borderId="2" xfId="0" applyNumberFormat="1" applyFont="1" applyFill="1" applyBorder="1" applyAlignment="1">
      <alignment horizontal="center" vertical="center" wrapText="1"/>
    </xf>
    <xf numFmtId="164" fontId="11" fillId="11" borderId="3" xfId="0" applyNumberFormat="1" applyFont="1" applyFill="1" applyBorder="1" applyAlignment="1">
      <alignment horizontal="center" vertical="center" wrapText="1"/>
    </xf>
    <xf numFmtId="164" fontId="3" fillId="0" borderId="4" xfId="6" applyNumberFormat="1" applyBorder="1" applyAlignment="1">
      <alignment horizontal="left" vertical="center" wrapText="1" indent="1"/>
    </xf>
    <xf numFmtId="164" fontId="3" fillId="0" borderId="7" xfId="6" applyNumberFormat="1" applyBorder="1" applyAlignment="1">
      <alignment horizontal="left" vertical="center" wrapText="1" indent="1"/>
    </xf>
    <xf numFmtId="164" fontId="11" fillId="11" borderId="2" xfId="0" applyNumberFormat="1" applyFont="1" applyFill="1" applyBorder="1" applyAlignment="1">
      <alignment horizontal="left" vertical="center" wrapText="1" indent="1"/>
    </xf>
    <xf numFmtId="164" fontId="11" fillId="11" borderId="3" xfId="0" applyNumberFormat="1" applyFont="1" applyFill="1" applyBorder="1" applyAlignment="1">
      <alignment horizontal="left" vertical="center" wrapText="1" indent="1"/>
    </xf>
    <xf numFmtId="164" fontId="15" fillId="0" borderId="2" xfId="0" applyNumberFormat="1" applyFont="1" applyFill="1" applyBorder="1" applyAlignment="1">
      <alignment horizontal="left" vertical="center" wrapText="1" indent="1"/>
    </xf>
    <xf numFmtId="164" fontId="16" fillId="0" borderId="3" xfId="0" applyNumberFormat="1" applyFont="1" applyFill="1" applyBorder="1" applyAlignment="1">
      <alignment horizontal="left" vertical="center" wrapText="1" indent="1"/>
    </xf>
    <xf numFmtId="164" fontId="15" fillId="0" borderId="3" xfId="0" applyNumberFormat="1" applyFont="1" applyFill="1" applyBorder="1" applyAlignment="1">
      <alignment horizontal="left" vertical="center" wrapText="1" indent="1"/>
    </xf>
    <xf numFmtId="164" fontId="11" fillId="0" borderId="2" xfId="0" applyNumberFormat="1" applyFont="1" applyFill="1" applyBorder="1" applyAlignment="1">
      <alignment horizontal="left" vertical="center" wrapText="1" indent="1"/>
    </xf>
    <xf numFmtId="164" fontId="11" fillId="0" borderId="3" xfId="0" applyNumberFormat="1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left" vertical="center" wrapText="1"/>
    </xf>
    <xf numFmtId="164" fontId="11" fillId="0" borderId="3" xfId="0" applyNumberFormat="1" applyFont="1" applyFill="1" applyBorder="1" applyAlignment="1">
      <alignment horizontal="left" vertical="center" wrapText="1"/>
    </xf>
    <xf numFmtId="164" fontId="15" fillId="10" borderId="3" xfId="0" applyNumberFormat="1" applyFont="1" applyFill="1" applyBorder="1" applyAlignment="1">
      <alignment horizontal="left" vertical="center" wrapText="1" indent="1"/>
    </xf>
    <xf numFmtId="0" fontId="11" fillId="0" borderId="3" xfId="0" applyFont="1" applyFill="1" applyBorder="1" applyAlignment="1">
      <alignment horizontal="left" vertical="center" wrapText="1" indent="1"/>
    </xf>
    <xf numFmtId="0" fontId="11" fillId="0" borderId="3" xfId="0" applyFont="1" applyFill="1" applyBorder="1" applyAlignment="1">
      <alignment horizontal="center" vertical="center" wrapText="1"/>
    </xf>
  </cellXfs>
  <cellStyles count="8"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Название" xfId="1" builtinId="15" customBuiltin="1"/>
    <cellStyle name="Обычный" xfId="0" builtinId="0" customBuiltin="1"/>
    <cellStyle name="Рік" xfId="7"/>
    <cellStyle name="Текст нотаток" xfId="6"/>
  </cellStyles>
  <dxfs count="76"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ION_colors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autoPageBreaks="0" fitToPage="1"/>
  </sheetPr>
  <dimension ref="A1:P15"/>
  <sheetViews>
    <sheetView showGridLines="0" zoomScaleNormal="100" workbookViewId="0">
      <selection activeCell="J13" sqref="J13"/>
    </sheetView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12" width="18.42578125" customWidth="1"/>
    <col min="13" max="13" width="2.7109375" customWidth="1"/>
    <col min="14" max="14" width="28.42578125" bestFit="1" customWidth="1"/>
    <col min="15" max="15" width="12.28515625" customWidth="1"/>
    <col min="16" max="16" width="3.28515625" customWidth="1"/>
    <col min="17" max="17" width="10" customWidth="1"/>
  </cols>
  <sheetData>
    <row r="1" spans="1:16" ht="15" customHeight="1" x14ac:dyDescent="0.25">
      <c r="B1" s="10"/>
      <c r="C1" s="47">
        <f>КалендарРік</f>
        <v>2025</v>
      </c>
      <c r="D1" s="10"/>
    </row>
    <row r="2" spans="1:16" s="3" customFormat="1" ht="35.25" customHeight="1" x14ac:dyDescent="0.3">
      <c r="A2" s="2"/>
      <c r="B2" s="11"/>
      <c r="C2" s="47"/>
      <c r="D2" s="11"/>
      <c r="E2" s="2"/>
      <c r="F2" s="13" t="str">
        <f>UPPER(TEXT(ПочатокТижня,"ddd"))</f>
        <v>ПН</v>
      </c>
      <c r="G2" s="13" t="str">
        <f t="shared" ref="G2:L2" si="0">UPPER(TEXT(G3,"ddd"))</f>
        <v>ВТ</v>
      </c>
      <c r="H2" s="13" t="str">
        <f t="shared" si="0"/>
        <v>СР</v>
      </c>
      <c r="I2" s="13" t="str">
        <f t="shared" si="0"/>
        <v>ЧТ</v>
      </c>
      <c r="J2" s="13" t="str">
        <f t="shared" si="0"/>
        <v>ПТ</v>
      </c>
      <c r="K2" s="13" t="str">
        <f t="shared" si="0"/>
        <v>СБ</v>
      </c>
      <c r="L2" s="13" t="str">
        <f t="shared" si="0"/>
        <v>НД</v>
      </c>
      <c r="N2" s="46" t="s">
        <v>0</v>
      </c>
      <c r="O2" s="46"/>
      <c r="P2" s="46"/>
    </row>
    <row r="3" spans="1:16" s="5" customFormat="1" ht="19.5" customHeight="1" x14ac:dyDescent="0.3">
      <c r="A3" s="4"/>
      <c r="B3" s="12"/>
      <c r="C3" s="47"/>
      <c r="D3" s="12"/>
      <c r="E3" s="4"/>
      <c r="F3" s="14">
        <f t="array" ref="F3:L3">ДніТаТижні+DATE(КалендарРік,1,1)-WEEKDAY(DATE(КалендарРік,1,1),(ПочатокТижня="ПН")+1)+1</f>
        <v>45656</v>
      </c>
      <c r="G3" s="14">
        <v>45657</v>
      </c>
      <c r="H3" s="14">
        <v>45658</v>
      </c>
      <c r="I3" s="14">
        <v>45659</v>
      </c>
      <c r="J3" s="14">
        <v>45660</v>
      </c>
      <c r="K3" s="14">
        <v>45661</v>
      </c>
      <c r="L3" s="16">
        <v>45662</v>
      </c>
      <c r="N3" s="17" t="s">
        <v>1</v>
      </c>
      <c r="O3" s="6">
        <v>2025</v>
      </c>
    </row>
    <row r="4" spans="1:16" s="5" customFormat="1" ht="19.5" customHeight="1" x14ac:dyDescent="0.25">
      <c r="A4" s="4"/>
      <c r="B4" s="12"/>
      <c r="C4" s="47"/>
      <c r="D4" s="12"/>
      <c r="E4" s="4"/>
      <c r="F4" s="72"/>
      <c r="G4" s="72"/>
      <c r="H4" s="53" t="s">
        <v>6</v>
      </c>
      <c r="I4" s="55" t="s">
        <v>7</v>
      </c>
      <c r="J4" s="57" t="s">
        <v>8</v>
      </c>
      <c r="K4" s="48"/>
      <c r="L4" s="50"/>
      <c r="N4" s="18" t="s">
        <v>2</v>
      </c>
      <c r="O4" s="7" t="s">
        <v>3</v>
      </c>
    </row>
    <row r="5" spans="1:16" ht="55.5" customHeight="1" x14ac:dyDescent="0.25">
      <c r="B5" s="59" t="str">
        <f>UPPER(TEXT(F6,"mmmm"))</f>
        <v>СІЧЕНЬ</v>
      </c>
      <c r="C5" s="59"/>
      <c r="D5" s="59"/>
      <c r="F5" s="73"/>
      <c r="G5" s="74"/>
      <c r="H5" s="54"/>
      <c r="I5" s="56"/>
      <c r="J5" s="58"/>
      <c r="K5" s="49"/>
      <c r="L5" s="51"/>
    </row>
    <row r="6" spans="1:16" s="5" customFormat="1" ht="19.5" customHeight="1" x14ac:dyDescent="0.3">
      <c r="A6" s="4"/>
      <c r="B6" s="39"/>
      <c r="C6" s="39"/>
      <c r="D6" s="39"/>
      <c r="E6" s="4"/>
      <c r="F6" s="14">
        <f t="array" ref="F6:L6">ДніТаТижні+DATE(КалендарРік,1,1)-WEEKDAY(DATE(КалендарРік,1,1),(ПочатокТижня="ПН")+1)+8</f>
        <v>45663</v>
      </c>
      <c r="G6" s="14">
        <v>45664</v>
      </c>
      <c r="H6" s="14">
        <v>45665</v>
      </c>
      <c r="I6" s="14">
        <v>45666</v>
      </c>
      <c r="J6" s="14">
        <v>45667</v>
      </c>
      <c r="K6" s="14">
        <v>45668</v>
      </c>
      <c r="L6" s="16">
        <v>45669</v>
      </c>
      <c r="P6"/>
    </row>
    <row r="7" spans="1:16" ht="75" customHeight="1" x14ac:dyDescent="0.25">
      <c r="B7" s="39"/>
      <c r="C7" s="39"/>
      <c r="D7" s="39"/>
      <c r="F7" s="21" t="s">
        <v>5</v>
      </c>
      <c r="G7" s="25" t="s">
        <v>6</v>
      </c>
      <c r="H7" s="25" t="s">
        <v>6</v>
      </c>
      <c r="I7" s="23" t="s">
        <v>7</v>
      </c>
      <c r="J7" s="24" t="s">
        <v>8</v>
      </c>
      <c r="L7" s="19"/>
      <c r="N7" s="20"/>
      <c r="O7" s="8"/>
    </row>
    <row r="8" spans="1:16" s="5" customFormat="1" ht="19.5" customHeight="1" x14ac:dyDescent="0.3">
      <c r="A8" s="4"/>
      <c r="B8" s="39"/>
      <c r="C8" s="39"/>
      <c r="D8" s="39"/>
      <c r="E8" s="4"/>
      <c r="F8" s="14">
        <f t="array" ref="F8:L8">ДніТаТижні+DATE(КалендарРік,1,1)-WEEKDAY(DATE(КалендарРік,1,1),(ПочатокТижня="ПН")+1)+15</f>
        <v>45670</v>
      </c>
      <c r="G8" s="14">
        <v>45671</v>
      </c>
      <c r="H8" s="14">
        <v>45672</v>
      </c>
      <c r="I8" s="14">
        <v>45673</v>
      </c>
      <c r="J8" s="14">
        <v>45674</v>
      </c>
      <c r="K8" s="14">
        <v>45675</v>
      </c>
      <c r="L8" s="16">
        <v>45676</v>
      </c>
      <c r="N8"/>
      <c r="O8" s="8"/>
    </row>
    <row r="9" spans="1:16" ht="75" customHeight="1" x14ac:dyDescent="0.25">
      <c r="B9" s="39"/>
      <c r="C9" s="39"/>
      <c r="D9" s="39"/>
      <c r="F9" s="21" t="s">
        <v>5</v>
      </c>
      <c r="G9" s="25" t="s">
        <v>6</v>
      </c>
      <c r="H9" s="25" t="s">
        <v>6</v>
      </c>
      <c r="I9" s="23" t="s">
        <v>7</v>
      </c>
      <c r="J9" s="24" t="s">
        <v>8</v>
      </c>
      <c r="L9" s="19"/>
    </row>
    <row r="10" spans="1:16" s="5" customFormat="1" ht="19.5" customHeight="1" x14ac:dyDescent="0.3">
      <c r="A10" s="4"/>
      <c r="B10" s="39"/>
      <c r="C10" s="39"/>
      <c r="D10" s="39"/>
      <c r="E10" s="4"/>
      <c r="F10" s="14">
        <f t="array" ref="F10:L10">ДніТаТижні+DATE(КалендарРік,1,1)-WEEKDAY(DATE(КалендарРік,1,1),(ПочатокТижня="ПН")+1)+22</f>
        <v>45677</v>
      </c>
      <c r="G10" s="14">
        <v>45678</v>
      </c>
      <c r="H10" s="14">
        <v>45679</v>
      </c>
      <c r="I10" s="14">
        <v>45680</v>
      </c>
      <c r="J10" s="14">
        <v>45681</v>
      </c>
      <c r="K10" s="14">
        <v>45682</v>
      </c>
      <c r="L10" s="16">
        <v>45683</v>
      </c>
    </row>
    <row r="11" spans="1:16" ht="75" customHeight="1" x14ac:dyDescent="0.25">
      <c r="B11" s="39"/>
      <c r="C11" s="39"/>
      <c r="D11" s="39"/>
      <c r="F11" s="21" t="s">
        <v>5</v>
      </c>
      <c r="G11" s="25" t="s">
        <v>6</v>
      </c>
      <c r="H11" s="25" t="s">
        <v>6</v>
      </c>
      <c r="I11" s="23" t="s">
        <v>7</v>
      </c>
      <c r="J11" s="24" t="s">
        <v>8</v>
      </c>
      <c r="L11" s="19"/>
    </row>
    <row r="12" spans="1:16" s="5" customFormat="1" ht="19.5" customHeight="1" x14ac:dyDescent="0.3">
      <c r="A12" s="4"/>
      <c r="B12" s="39"/>
      <c r="C12" s="39"/>
      <c r="D12" s="39"/>
      <c r="E12" s="4"/>
      <c r="F12" s="14">
        <f t="array" ref="F12:L12">ДніТаТижні+DATE(КалендарРік,1,1)-WEEKDAY(DATE(КалендарРік,1,1),(ПочатокТижня="ПН")+1)+29</f>
        <v>45684</v>
      </c>
      <c r="G12" s="14">
        <v>45685</v>
      </c>
      <c r="H12" s="14">
        <v>45686</v>
      </c>
      <c r="I12" s="14">
        <v>45687</v>
      </c>
      <c r="J12" s="14">
        <v>45688</v>
      </c>
      <c r="K12" s="14">
        <v>45689</v>
      </c>
      <c r="L12" s="14">
        <v>45690</v>
      </c>
    </row>
    <row r="13" spans="1:16" ht="75" customHeight="1" x14ac:dyDescent="0.25">
      <c r="B13" s="39"/>
      <c r="C13" s="39"/>
      <c r="D13" s="39"/>
      <c r="F13" s="21" t="s">
        <v>5</v>
      </c>
      <c r="G13" s="25" t="s">
        <v>6</v>
      </c>
      <c r="H13" s="25" t="s">
        <v>6</v>
      </c>
      <c r="I13" s="23" t="s">
        <v>7</v>
      </c>
      <c r="J13" s="24" t="s">
        <v>8</v>
      </c>
      <c r="L13" s="19"/>
    </row>
    <row r="14" spans="1:16" s="5" customFormat="1" ht="19.5" customHeight="1" x14ac:dyDescent="0.3">
      <c r="A14" s="4"/>
      <c r="B14" s="39"/>
      <c r="C14" s="39"/>
      <c r="D14" s="39"/>
      <c r="E14" s="4"/>
      <c r="F14" s="14">
        <f t="array" ref="F14:G14">ДніТаТижні+DATE(КалендарРік,1,1)-WEEKDAY(DATE(КалендарРік,1,1),(ПочатокТижня="ПН")+1)+36</f>
        <v>45691</v>
      </c>
      <c r="G14" s="14">
        <v>45692</v>
      </c>
      <c r="H14" s="40" t="s">
        <v>4</v>
      </c>
      <c r="I14" s="42"/>
      <c r="J14" s="42"/>
      <c r="K14" s="42"/>
      <c r="L14" s="43"/>
    </row>
    <row r="15" spans="1:16" ht="75" customHeight="1" x14ac:dyDescent="0.25">
      <c r="B15" s="10"/>
      <c r="C15" s="10"/>
      <c r="D15" s="10"/>
      <c r="F15" s="38"/>
      <c r="G15" s="9"/>
      <c r="H15" s="41"/>
      <c r="I15" s="44"/>
      <c r="J15" s="44"/>
      <c r="K15" s="44"/>
      <c r="L15" s="45"/>
    </row>
  </sheetData>
  <mergeCells count="13">
    <mergeCell ref="B6:D14"/>
    <mergeCell ref="H14:H15"/>
    <mergeCell ref="I14:L15"/>
    <mergeCell ref="N2:P2"/>
    <mergeCell ref="C1:C4"/>
    <mergeCell ref="K4:K5"/>
    <mergeCell ref="L4:L5"/>
    <mergeCell ref="F4:F5"/>
    <mergeCell ref="G4:G5"/>
    <mergeCell ref="H4:H5"/>
    <mergeCell ref="I4:I5"/>
    <mergeCell ref="J4:J5"/>
    <mergeCell ref="B5:D5"/>
  </mergeCells>
  <conditionalFormatting sqref="F3:F6 F8 F10 F12 F14">
    <cfRule type="expression" dxfId="75" priority="8">
      <formula>F$2="НД"</formula>
    </cfRule>
  </conditionalFormatting>
  <conditionalFormatting sqref="F3:K4">
    <cfRule type="expression" dxfId="74" priority="9">
      <formula>DAY(F3)&gt;8</formula>
    </cfRule>
  </conditionalFormatting>
  <conditionalFormatting sqref="F12:L12 F14:G14">
    <cfRule type="expression" dxfId="73" priority="10">
      <formula>AND(DAY(F12)&gt;=1,DAY(F12)&lt;=15)</formula>
    </cfRule>
  </conditionalFormatting>
  <conditionalFormatting sqref="K3:L4 K6:L13">
    <cfRule type="expression" dxfId="72" priority="7">
      <formula>K$2="СБ"</formula>
    </cfRule>
  </conditionalFormatting>
  <conditionalFormatting sqref="L3:L4 L6:L13">
    <cfRule type="expression" dxfId="71" priority="6">
      <formula>$L$2="НД"</formula>
    </cfRule>
  </conditionalFormatting>
  <conditionalFormatting sqref="F7">
    <cfRule type="expression" dxfId="70" priority="5">
      <formula>F$2="НД"</formula>
    </cfRule>
  </conditionalFormatting>
  <conditionalFormatting sqref="F9">
    <cfRule type="expression" dxfId="69" priority="4">
      <formula>F$2="НД"</formula>
    </cfRule>
  </conditionalFormatting>
  <conditionalFormatting sqref="F11">
    <cfRule type="expression" dxfId="68" priority="3">
      <formula>F$2="НД"</formula>
    </cfRule>
  </conditionalFormatting>
  <conditionalFormatting sqref="F13">
    <cfRule type="expression" dxfId="67" priority="2">
      <formula>F$2="НД"</formula>
    </cfRule>
  </conditionalFormatting>
  <conditionalFormatting sqref="F15">
    <cfRule type="expression" dxfId="66" priority="1">
      <formula>F$2="НД"</formula>
    </cfRule>
  </conditionalFormatting>
  <dataValidations count="1">
    <dataValidation type="list" allowBlank="1" showInputMessage="1" showErrorMessage="1" errorTitle="Щось не так." error="Для правильного відображення календаря в цій клітинці потрібно вказати &quot;НД&quot; або &quot;ПН&quot;." sqref="O4">
      <formula1>"НД, ПН"</formula1>
    </dataValidation>
  </dataValidations>
  <printOptions horizontalCentered="1" verticalCentered="1"/>
  <pageMargins left="0.25" right="0.25" top="0.5" bottom="0.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A1:L15"/>
  <sheetViews>
    <sheetView showGridLines="0" zoomScaleNormal="100" workbookViewId="0">
      <selection activeCell="J13" sqref="J13"/>
    </sheetView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12" width="18.42578125" customWidth="1"/>
    <col min="13" max="13" width="2.7109375" customWidth="1"/>
    <col min="14" max="14" width="10" customWidth="1"/>
  </cols>
  <sheetData>
    <row r="1" spans="1:12" ht="15" customHeight="1" x14ac:dyDescent="0.25">
      <c r="B1" s="10"/>
      <c r="C1" s="47">
        <f>КалендарРік</f>
        <v>2025</v>
      </c>
      <c r="D1" s="10"/>
    </row>
    <row r="2" spans="1:12" s="3" customFormat="1" ht="35.25" customHeight="1" x14ac:dyDescent="0.3">
      <c r="A2" s="2"/>
      <c r="B2" s="11"/>
      <c r="C2" s="47"/>
      <c r="D2" s="11"/>
      <c r="E2" s="2"/>
      <c r="F2" s="13" t="str">
        <f>UPPER(TEXT(ПочатокТижня,"ddd"))</f>
        <v>ПН</v>
      </c>
      <c r="G2" s="13" t="str">
        <f t="shared" ref="G2:L2" si="0">UPPER(TEXT(G3,"ddd"))</f>
        <v>ВТ</v>
      </c>
      <c r="H2" s="13" t="str">
        <f t="shared" si="0"/>
        <v>СР</v>
      </c>
      <c r="I2" s="13" t="str">
        <f t="shared" si="0"/>
        <v>ЧТ</v>
      </c>
      <c r="J2" s="13" t="str">
        <f t="shared" si="0"/>
        <v>ПТ</v>
      </c>
      <c r="K2" s="13" t="str">
        <f t="shared" si="0"/>
        <v>СБ</v>
      </c>
      <c r="L2" s="13" t="str">
        <f t="shared" si="0"/>
        <v>НД</v>
      </c>
    </row>
    <row r="3" spans="1:12" s="5" customFormat="1" ht="19.5" customHeight="1" x14ac:dyDescent="0.3">
      <c r="A3" s="4"/>
      <c r="B3" s="12"/>
      <c r="C3" s="47"/>
      <c r="D3" s="12"/>
      <c r="E3" s="4"/>
      <c r="F3" s="14">
        <f t="array" ref="F3:L3">ДніТаТижні+DATE(КалендарРік,2,1)-WEEKDAY(DATE(КалендарРік,2,1),(ПочатокТижня="ПН")+1)+1</f>
        <v>45684</v>
      </c>
      <c r="G3" s="14">
        <v>45685</v>
      </c>
      <c r="H3" s="14">
        <v>45686</v>
      </c>
      <c r="I3" s="14">
        <v>45687</v>
      </c>
      <c r="J3" s="14">
        <v>45688</v>
      </c>
      <c r="K3" s="14">
        <v>45689</v>
      </c>
      <c r="L3" s="16">
        <v>45690</v>
      </c>
    </row>
    <row r="4" spans="1:12" s="5" customFormat="1" ht="19.5" customHeight="1" x14ac:dyDescent="0.25">
      <c r="A4" s="4"/>
      <c r="B4" s="12"/>
      <c r="C4" s="47"/>
      <c r="D4" s="12"/>
      <c r="E4" s="4"/>
      <c r="F4" s="48"/>
      <c r="G4" s="48"/>
      <c r="H4" s="48"/>
      <c r="I4" s="72"/>
      <c r="J4" s="72"/>
      <c r="K4" s="48"/>
      <c r="L4" s="50"/>
    </row>
    <row r="5" spans="1:12" ht="55.5" customHeight="1" x14ac:dyDescent="0.25">
      <c r="B5" s="59" t="str">
        <f>UPPER(TEXT(F6,"mmmm"))</f>
        <v>ЛЮТИЙ</v>
      </c>
      <c r="C5" s="59"/>
      <c r="D5" s="59"/>
      <c r="F5" s="49"/>
      <c r="G5" s="49"/>
      <c r="H5" s="49"/>
      <c r="I5" s="74"/>
      <c r="J5" s="74"/>
      <c r="K5" s="49"/>
      <c r="L5" s="51"/>
    </row>
    <row r="6" spans="1:12" s="5" customFormat="1" ht="19.5" customHeight="1" x14ac:dyDescent="0.3">
      <c r="A6" s="4"/>
      <c r="B6" s="39"/>
      <c r="C6" s="39"/>
      <c r="D6" s="39"/>
      <c r="E6" s="4"/>
      <c r="F6" s="14">
        <f t="array" ref="F6:L6">ДніТаТижні+DATE(КалендарРік,2,1)-WEEKDAY(DATE(КалендарРік,2,1),(ПочатокТижня="ПН")+1)+8</f>
        <v>45691</v>
      </c>
      <c r="G6" s="14">
        <v>45692</v>
      </c>
      <c r="H6" s="14">
        <v>45693</v>
      </c>
      <c r="I6" s="14">
        <v>45694</v>
      </c>
      <c r="J6" s="14">
        <v>45695</v>
      </c>
      <c r="K6" s="14">
        <v>45696</v>
      </c>
      <c r="L6" s="16">
        <v>45697</v>
      </c>
    </row>
    <row r="7" spans="1:12" ht="75" customHeight="1" x14ac:dyDescent="0.25">
      <c r="B7" s="39"/>
      <c r="C7" s="39"/>
      <c r="D7" s="39"/>
      <c r="F7" s="21" t="s">
        <v>5</v>
      </c>
      <c r="G7" s="25" t="s">
        <v>6</v>
      </c>
      <c r="H7" s="25" t="s">
        <v>6</v>
      </c>
      <c r="I7" s="23" t="s">
        <v>7</v>
      </c>
      <c r="J7" s="24" t="s">
        <v>8</v>
      </c>
      <c r="L7" s="19"/>
    </row>
    <row r="8" spans="1:12" s="5" customFormat="1" ht="19.5" customHeight="1" x14ac:dyDescent="0.3">
      <c r="A8" s="4"/>
      <c r="B8" s="39"/>
      <c r="C8" s="39"/>
      <c r="D8" s="39"/>
      <c r="E8" s="4"/>
      <c r="F8" s="14">
        <f t="array" ref="F8:L8">ДніТаТижні+DATE(КалендарРік,2,1)-WEEKDAY(DATE(КалендарРік,2,1),(ПочатокТижня="ПН")+1)+15</f>
        <v>45698</v>
      </c>
      <c r="G8" s="14">
        <v>45699</v>
      </c>
      <c r="H8" s="14">
        <v>45700</v>
      </c>
      <c r="I8" s="14">
        <v>45701</v>
      </c>
      <c r="J8" s="14">
        <v>45702</v>
      </c>
      <c r="K8" s="14">
        <v>45703</v>
      </c>
      <c r="L8" s="16">
        <v>45704</v>
      </c>
    </row>
    <row r="9" spans="1:12" ht="75" customHeight="1" x14ac:dyDescent="0.25">
      <c r="B9" s="39"/>
      <c r="C9" s="39"/>
      <c r="D9" s="39"/>
      <c r="F9" s="21" t="s">
        <v>5</v>
      </c>
      <c r="G9" s="25" t="s">
        <v>6</v>
      </c>
      <c r="H9" s="25" t="s">
        <v>6</v>
      </c>
      <c r="I9" s="23" t="s">
        <v>7</v>
      </c>
      <c r="J9" s="24" t="s">
        <v>8</v>
      </c>
      <c r="L9" s="19"/>
    </row>
    <row r="10" spans="1:12" s="5" customFormat="1" ht="19.5" customHeight="1" x14ac:dyDescent="0.3">
      <c r="A10" s="4"/>
      <c r="B10" s="39"/>
      <c r="C10" s="39"/>
      <c r="D10" s="39"/>
      <c r="E10" s="4"/>
      <c r="F10" s="14">
        <f t="array" ref="F10:L10">ДніТаТижні+DATE(КалендарРік,2,1)-WEEKDAY(DATE(КалендарРік,2,1),(ПочатокТижня="ПН")+1)+22</f>
        <v>45705</v>
      </c>
      <c r="G10" s="14">
        <v>45706</v>
      </c>
      <c r="H10" s="14">
        <v>45707</v>
      </c>
      <c r="I10" s="14">
        <v>45708</v>
      </c>
      <c r="J10" s="14">
        <v>45709</v>
      </c>
      <c r="K10" s="14">
        <v>45710</v>
      </c>
      <c r="L10" s="16">
        <v>45711</v>
      </c>
    </row>
    <row r="11" spans="1:12" ht="75" customHeight="1" x14ac:dyDescent="0.25">
      <c r="B11" s="39"/>
      <c r="C11" s="39"/>
      <c r="D11" s="39"/>
      <c r="F11" s="21" t="s">
        <v>5</v>
      </c>
      <c r="G11" s="25" t="s">
        <v>6</v>
      </c>
      <c r="H11" s="25" t="s">
        <v>6</v>
      </c>
      <c r="I11" s="23" t="s">
        <v>7</v>
      </c>
      <c r="J11" s="24" t="s">
        <v>8</v>
      </c>
      <c r="L11" s="19"/>
    </row>
    <row r="12" spans="1:12" s="5" customFormat="1" ht="19.5" customHeight="1" x14ac:dyDescent="0.3">
      <c r="A12" s="4"/>
      <c r="B12" s="39"/>
      <c r="C12" s="39"/>
      <c r="D12" s="39"/>
      <c r="E12" s="4"/>
      <c r="F12" s="14">
        <f t="array" ref="F12:L12">ДніТаТижні+DATE(КалендарРік,2,1)-WEEKDAY(DATE(КалендарРік,2,1),(ПочатокТижня="ПН")+1)+29</f>
        <v>45712</v>
      </c>
      <c r="G12" s="14">
        <v>45713</v>
      </c>
      <c r="H12" s="14">
        <v>45714</v>
      </c>
      <c r="I12" s="14">
        <v>45715</v>
      </c>
      <c r="J12" s="14">
        <v>45716</v>
      </c>
      <c r="K12" s="14">
        <v>45717</v>
      </c>
      <c r="L12" s="14">
        <v>45718</v>
      </c>
    </row>
    <row r="13" spans="1:12" ht="75" customHeight="1" x14ac:dyDescent="0.25">
      <c r="B13" s="39"/>
      <c r="C13" s="39"/>
      <c r="D13" s="39"/>
      <c r="F13" s="21" t="s">
        <v>5</v>
      </c>
      <c r="G13" s="25" t="s">
        <v>6</v>
      </c>
      <c r="H13" s="25" t="s">
        <v>6</v>
      </c>
      <c r="I13" s="23" t="s">
        <v>7</v>
      </c>
      <c r="J13" s="24" t="s">
        <v>8</v>
      </c>
      <c r="L13" s="19"/>
    </row>
    <row r="14" spans="1:12" s="5" customFormat="1" ht="19.5" customHeight="1" x14ac:dyDescent="0.3">
      <c r="A14" s="4"/>
      <c r="B14" s="39"/>
      <c r="C14" s="39"/>
      <c r="D14" s="39"/>
      <c r="E14" s="4"/>
      <c r="F14" s="14">
        <f t="array" ref="F14:G14">ДніТаТижні+DATE(КалендарРік,2,1)-WEEKDAY(DATE(КалендарРік,2,1),(ПочатокТижня="ПН")+1)+36</f>
        <v>45719</v>
      </c>
      <c r="G14" s="14">
        <v>45720</v>
      </c>
      <c r="H14" s="40" t="s">
        <v>4</v>
      </c>
      <c r="I14" s="42"/>
      <c r="J14" s="42"/>
      <c r="K14" s="42"/>
      <c r="L14" s="43"/>
    </row>
    <row r="15" spans="1:12" ht="75" customHeight="1" x14ac:dyDescent="0.25">
      <c r="B15" s="10"/>
      <c r="C15" s="10"/>
      <c r="D15" s="10"/>
      <c r="F15" s="9"/>
      <c r="G15" s="9"/>
      <c r="H15" s="41"/>
      <c r="I15" s="44"/>
      <c r="J15" s="44"/>
      <c r="K15" s="44"/>
      <c r="L15" s="45"/>
    </row>
  </sheetData>
  <mergeCells count="12">
    <mergeCell ref="B6:D14"/>
    <mergeCell ref="H14:H15"/>
    <mergeCell ref="I14:L15"/>
    <mergeCell ref="C1:C4"/>
    <mergeCell ref="L4:L5"/>
    <mergeCell ref="F4:F5"/>
    <mergeCell ref="G4:G5"/>
    <mergeCell ref="H4:H5"/>
    <mergeCell ref="I4:I5"/>
    <mergeCell ref="J4:J5"/>
    <mergeCell ref="K4:K5"/>
    <mergeCell ref="B5:D5"/>
  </mergeCells>
  <conditionalFormatting sqref="F3:F6 F8 F10 F12 F14:F15">
    <cfRule type="expression" dxfId="65" priority="7">
      <formula>F$2="НД"</formula>
    </cfRule>
  </conditionalFormatting>
  <conditionalFormatting sqref="F3:K4">
    <cfRule type="expression" dxfId="64" priority="8">
      <formula>DAY(F3)&gt;8</formula>
    </cfRule>
  </conditionalFormatting>
  <conditionalFormatting sqref="F12:L12 F14:G14">
    <cfRule type="expression" dxfId="63" priority="9">
      <formula>AND(DAY(F12)&gt;=1,DAY(F12)&lt;=15)</formula>
    </cfRule>
  </conditionalFormatting>
  <conditionalFormatting sqref="K3:L4 K6:L13">
    <cfRule type="expression" dxfId="62" priority="6">
      <formula>K$2="СБ"</formula>
    </cfRule>
  </conditionalFormatting>
  <conditionalFormatting sqref="L3:L4 L6:L13">
    <cfRule type="expression" dxfId="61" priority="5">
      <formula>$L$2="НД"</formula>
    </cfRule>
  </conditionalFormatting>
  <conditionalFormatting sqref="F7">
    <cfRule type="expression" dxfId="60" priority="4">
      <formula>F$2="НД"</formula>
    </cfRule>
  </conditionalFormatting>
  <conditionalFormatting sqref="F9">
    <cfRule type="expression" dxfId="59" priority="3">
      <formula>F$2="НД"</formula>
    </cfRule>
  </conditionalFormatting>
  <conditionalFormatting sqref="F11">
    <cfRule type="expression" dxfId="58" priority="2">
      <formula>F$2="НД"</formula>
    </cfRule>
  </conditionalFormatting>
  <conditionalFormatting sqref="F13">
    <cfRule type="expression" dxfId="57" priority="1">
      <formula>F$2="НД"</formula>
    </cfRule>
  </conditionalFormatting>
  <printOptions horizontalCentered="1" verticalCentered="1"/>
  <pageMargins left="0.25" right="0.25" top="0.5" bottom="0.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L15"/>
  <sheetViews>
    <sheetView showGridLines="0" topLeftCell="A7" zoomScaleNormal="100" workbookViewId="0">
      <selection activeCell="F15" sqref="F15"/>
    </sheetView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12" width="18.42578125" customWidth="1"/>
    <col min="13" max="13" width="2.7109375" customWidth="1"/>
    <col min="14" max="14" width="10" customWidth="1"/>
  </cols>
  <sheetData>
    <row r="1" spans="1:12" ht="15" customHeight="1" x14ac:dyDescent="0.25">
      <c r="B1" s="10"/>
      <c r="C1" s="47">
        <f>КалендарРік</f>
        <v>2025</v>
      </c>
      <c r="D1" s="10"/>
    </row>
    <row r="2" spans="1:12" s="3" customFormat="1" ht="35.25" customHeight="1" x14ac:dyDescent="0.3">
      <c r="A2" s="2"/>
      <c r="B2" s="11"/>
      <c r="C2" s="47"/>
      <c r="D2" s="11"/>
      <c r="E2" s="2"/>
      <c r="F2" s="13" t="str">
        <f>UPPER(TEXT(ПочатокТижня,"ddd"))</f>
        <v>ПН</v>
      </c>
      <c r="G2" s="13" t="str">
        <f t="shared" ref="G2:L2" si="0">UPPER(TEXT(G3,"ddd"))</f>
        <v>ВТ</v>
      </c>
      <c r="H2" s="13" t="str">
        <f t="shared" si="0"/>
        <v>СР</v>
      </c>
      <c r="I2" s="13" t="str">
        <f t="shared" si="0"/>
        <v>ЧТ</v>
      </c>
      <c r="J2" s="13" t="str">
        <f t="shared" si="0"/>
        <v>ПТ</v>
      </c>
      <c r="K2" s="13" t="str">
        <f t="shared" si="0"/>
        <v>СБ</v>
      </c>
      <c r="L2" s="13" t="str">
        <f t="shared" si="0"/>
        <v>НД</v>
      </c>
    </row>
    <row r="3" spans="1:12" s="5" customFormat="1" ht="19.5" customHeight="1" x14ac:dyDescent="0.3">
      <c r="A3" s="4"/>
      <c r="B3" s="12"/>
      <c r="C3" s="47"/>
      <c r="D3" s="12"/>
      <c r="E3" s="4"/>
      <c r="F3" s="14">
        <f t="array" ref="F3:L3">ДніТаТижні+DATE(КалендарРік,3,1)-WEEKDAY(DATE(КалендарРік,3,1),(ПочатокТижня="ПН")+1)+1</f>
        <v>45712</v>
      </c>
      <c r="G3" s="14">
        <v>45713</v>
      </c>
      <c r="H3" s="14">
        <v>45714</v>
      </c>
      <c r="I3" s="14">
        <v>45715</v>
      </c>
      <c r="J3" s="14">
        <v>45716</v>
      </c>
      <c r="K3" s="14">
        <v>45717</v>
      </c>
      <c r="L3" s="16">
        <v>45718</v>
      </c>
    </row>
    <row r="4" spans="1:12" s="5" customFormat="1" ht="19.5" customHeight="1" x14ac:dyDescent="0.25">
      <c r="A4" s="4"/>
      <c r="B4" s="12"/>
      <c r="C4" s="47"/>
      <c r="D4" s="12"/>
      <c r="E4" s="4"/>
      <c r="F4" s="48"/>
      <c r="G4" s="48"/>
      <c r="H4" s="48"/>
      <c r="I4" s="48"/>
      <c r="J4" s="72"/>
      <c r="K4" s="48"/>
      <c r="L4" s="50"/>
    </row>
    <row r="5" spans="1:12" ht="55.5" customHeight="1" x14ac:dyDescent="0.25">
      <c r="B5" s="59" t="str">
        <f>UPPER(TEXT(F6,"mmmm"))</f>
        <v>БЕРЕЗЕНЬ</v>
      </c>
      <c r="C5" s="59"/>
      <c r="D5" s="59"/>
      <c r="F5" s="49"/>
      <c r="G5" s="49"/>
      <c r="H5" s="49"/>
      <c r="I5" s="49"/>
      <c r="J5" s="74"/>
      <c r="K5" s="49"/>
      <c r="L5" s="51"/>
    </row>
    <row r="6" spans="1:12" s="5" customFormat="1" ht="19.5" customHeight="1" x14ac:dyDescent="0.3">
      <c r="A6" s="4"/>
      <c r="B6" s="39"/>
      <c r="C6" s="39"/>
      <c r="D6" s="39"/>
      <c r="E6" s="4"/>
      <c r="F6" s="14">
        <f t="array" ref="F6:L6">ДніТаТижні+DATE(КалендарРік,3,1)-WEEKDAY(DATE(КалендарРік,3,1),(ПочатокТижня="ПН")+1)+8</f>
        <v>45719</v>
      </c>
      <c r="G6" s="14">
        <v>45720</v>
      </c>
      <c r="H6" s="14">
        <v>45721</v>
      </c>
      <c r="I6" s="14">
        <v>45722</v>
      </c>
      <c r="J6" s="14">
        <v>45723</v>
      </c>
      <c r="K6" s="14">
        <v>45724</v>
      </c>
      <c r="L6" s="15">
        <v>45725</v>
      </c>
    </row>
    <row r="7" spans="1:12" ht="75" customHeight="1" x14ac:dyDescent="0.25">
      <c r="B7" s="39"/>
      <c r="C7" s="39"/>
      <c r="D7" s="39"/>
      <c r="F7" s="21" t="s">
        <v>5</v>
      </c>
      <c r="G7" s="25" t="s">
        <v>6</v>
      </c>
      <c r="H7" s="25" t="s">
        <v>6</v>
      </c>
      <c r="I7" s="23" t="s">
        <v>7</v>
      </c>
      <c r="J7" s="24" t="s">
        <v>8</v>
      </c>
      <c r="L7" s="19"/>
    </row>
    <row r="8" spans="1:12" s="5" customFormat="1" ht="19.5" customHeight="1" x14ac:dyDescent="0.3">
      <c r="A8" s="4"/>
      <c r="B8" s="39"/>
      <c r="C8" s="39"/>
      <c r="D8" s="39"/>
      <c r="E8" s="4"/>
      <c r="F8" s="14">
        <f t="array" ref="F8:L8">ДніТаТижні+DATE(КалендарРік,3,1)-WEEKDAY(DATE(КалендарРік,3,1),(ПочатокТижня="ПН")+1)+15</f>
        <v>45726</v>
      </c>
      <c r="G8" s="14">
        <v>45727</v>
      </c>
      <c r="H8" s="14">
        <v>45728</v>
      </c>
      <c r="I8" s="14">
        <v>45729</v>
      </c>
      <c r="J8" s="14">
        <v>45730</v>
      </c>
      <c r="K8" s="14">
        <v>45731</v>
      </c>
      <c r="L8" s="16">
        <v>45732</v>
      </c>
    </row>
    <row r="9" spans="1:12" ht="75" customHeight="1" x14ac:dyDescent="0.25">
      <c r="B9" s="39"/>
      <c r="C9" s="39"/>
      <c r="D9" s="39"/>
      <c r="F9" s="21" t="s">
        <v>5</v>
      </c>
      <c r="G9" s="25" t="s">
        <v>6</v>
      </c>
      <c r="H9" s="25" t="s">
        <v>6</v>
      </c>
      <c r="I9" s="23" t="s">
        <v>7</v>
      </c>
      <c r="J9" s="24" t="s">
        <v>8</v>
      </c>
      <c r="L9" s="19"/>
    </row>
    <row r="10" spans="1:12" s="5" customFormat="1" ht="19.5" customHeight="1" x14ac:dyDescent="0.3">
      <c r="A10" s="4"/>
      <c r="B10" s="39"/>
      <c r="C10" s="39"/>
      <c r="D10" s="39"/>
      <c r="E10" s="4"/>
      <c r="F10" s="14">
        <f t="array" ref="F10:L10">ДніТаТижні+DATE(КалендарРік,3,1)-WEEKDAY(DATE(КалендарРік,3,1),(ПочатокТижня="ПН")+1)+22</f>
        <v>45733</v>
      </c>
      <c r="G10" s="14">
        <v>45734</v>
      </c>
      <c r="H10" s="14">
        <v>45735</v>
      </c>
      <c r="I10" s="14">
        <v>45736</v>
      </c>
      <c r="J10" s="14">
        <v>45737</v>
      </c>
      <c r="K10" s="14">
        <v>45738</v>
      </c>
      <c r="L10" s="16">
        <v>45739</v>
      </c>
    </row>
    <row r="11" spans="1:12" ht="75" customHeight="1" x14ac:dyDescent="0.25">
      <c r="B11" s="39"/>
      <c r="C11" s="39"/>
      <c r="D11" s="39"/>
      <c r="F11" s="21" t="s">
        <v>5</v>
      </c>
      <c r="G11" s="25" t="s">
        <v>6</v>
      </c>
      <c r="H11" s="25" t="s">
        <v>6</v>
      </c>
      <c r="I11" s="23" t="s">
        <v>7</v>
      </c>
      <c r="J11" s="24" t="s">
        <v>8</v>
      </c>
      <c r="L11" s="19"/>
    </row>
    <row r="12" spans="1:12" s="5" customFormat="1" ht="19.5" customHeight="1" x14ac:dyDescent="0.3">
      <c r="A12" s="4"/>
      <c r="B12" s="39"/>
      <c r="C12" s="39"/>
      <c r="D12" s="39"/>
      <c r="E12" s="4"/>
      <c r="F12" s="14">
        <f t="array" ref="F12:L12">ДніТаТижні+DATE(КалендарРік,3,1)-WEEKDAY(DATE(КалендарРік,3,1),(ПочатокТижня="ПН")+1)+29</f>
        <v>45740</v>
      </c>
      <c r="G12" s="14">
        <v>45741</v>
      </c>
      <c r="H12" s="14">
        <v>45742</v>
      </c>
      <c r="I12" s="14">
        <v>45743</v>
      </c>
      <c r="J12" s="14">
        <v>45744</v>
      </c>
      <c r="K12" s="14">
        <v>45745</v>
      </c>
      <c r="L12" s="14">
        <v>45746</v>
      </c>
    </row>
    <row r="13" spans="1:12" ht="75" customHeight="1" x14ac:dyDescent="0.25">
      <c r="B13" s="39"/>
      <c r="C13" s="39"/>
      <c r="D13" s="39"/>
      <c r="F13" s="21" t="s">
        <v>5</v>
      </c>
      <c r="G13" s="25" t="s">
        <v>6</v>
      </c>
      <c r="H13" s="25" t="s">
        <v>6</v>
      </c>
      <c r="I13" s="23" t="s">
        <v>7</v>
      </c>
      <c r="J13" s="24" t="s">
        <v>8</v>
      </c>
      <c r="L13" s="19"/>
    </row>
    <row r="14" spans="1:12" s="5" customFormat="1" ht="19.5" customHeight="1" x14ac:dyDescent="0.3">
      <c r="A14" s="4"/>
      <c r="B14" s="39"/>
      <c r="C14" s="39"/>
      <c r="D14" s="39"/>
      <c r="E14" s="4"/>
      <c r="F14" s="14">
        <f t="array" ref="F14:G14">ДніТаТижні+DATE(КалендарРік,3,1)-WEEKDAY(DATE(КалендарРік,3,1),(ПочатокТижня="ПН")+1)+36</f>
        <v>45747</v>
      </c>
      <c r="G14" s="14">
        <v>45748</v>
      </c>
      <c r="H14" s="40" t="s">
        <v>4</v>
      </c>
      <c r="I14" s="42"/>
      <c r="J14" s="42"/>
      <c r="K14" s="42"/>
      <c r="L14" s="43"/>
    </row>
    <row r="15" spans="1:12" ht="75" customHeight="1" x14ac:dyDescent="0.25">
      <c r="B15" s="10"/>
      <c r="C15" s="10"/>
      <c r="D15" s="10"/>
      <c r="F15" s="21" t="s">
        <v>5</v>
      </c>
      <c r="G15" s="9"/>
      <c r="H15" s="41"/>
      <c r="I15" s="44"/>
      <c r="J15" s="44"/>
      <c r="K15" s="44"/>
      <c r="L15" s="45"/>
    </row>
  </sheetData>
  <mergeCells count="12">
    <mergeCell ref="B6:D14"/>
    <mergeCell ref="H14:H15"/>
    <mergeCell ref="I14:L15"/>
    <mergeCell ref="C1:C4"/>
    <mergeCell ref="L4:L5"/>
    <mergeCell ref="F4:F5"/>
    <mergeCell ref="G4:G5"/>
    <mergeCell ref="H4:H5"/>
    <mergeCell ref="I4:I5"/>
    <mergeCell ref="J4:J5"/>
    <mergeCell ref="K4:K5"/>
    <mergeCell ref="B5:D5"/>
  </mergeCells>
  <conditionalFormatting sqref="F3:F6 F8 F10 F12 F14">
    <cfRule type="expression" dxfId="56" priority="8">
      <formula>F$2="НД"</formula>
    </cfRule>
  </conditionalFormatting>
  <conditionalFormatting sqref="F3:K4">
    <cfRule type="expression" dxfId="55" priority="9">
      <formula>DAY(F3)&gt;8</formula>
    </cfRule>
  </conditionalFormatting>
  <conditionalFormatting sqref="F12:L12 F14:G14">
    <cfRule type="expression" dxfId="54" priority="10">
      <formula>AND(DAY(F12)&gt;=1,DAY(F12)&lt;=15)</formula>
    </cfRule>
  </conditionalFormatting>
  <conditionalFormatting sqref="K3:L4 K6:L13">
    <cfRule type="expression" dxfId="53" priority="7">
      <formula>K$2="СБ"</formula>
    </cfRule>
  </conditionalFormatting>
  <conditionalFormatting sqref="L3:L4 L6:L13">
    <cfRule type="expression" dxfId="52" priority="6">
      <formula>$L$2="НД"</formula>
    </cfRule>
  </conditionalFormatting>
  <conditionalFormatting sqref="F7">
    <cfRule type="expression" dxfId="51" priority="5">
      <formula>F$2="НД"</formula>
    </cfRule>
  </conditionalFormatting>
  <conditionalFormatting sqref="F9">
    <cfRule type="expression" dxfId="50" priority="4">
      <formula>F$2="НД"</formula>
    </cfRule>
  </conditionalFormatting>
  <conditionalFormatting sqref="F11">
    <cfRule type="expression" dxfId="49" priority="3">
      <formula>F$2="НД"</formula>
    </cfRule>
  </conditionalFormatting>
  <conditionalFormatting sqref="F13">
    <cfRule type="expression" dxfId="48" priority="2">
      <formula>F$2="НД"</formula>
    </cfRule>
  </conditionalFormatting>
  <conditionalFormatting sqref="F15">
    <cfRule type="expression" dxfId="2" priority="1">
      <formula>F$2="НД"</formula>
    </cfRule>
  </conditionalFormatting>
  <printOptions horizontalCentered="1" verticalCentered="1"/>
  <pageMargins left="0.25" right="0.25" top="0.5" bottom="0.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15"/>
  <sheetViews>
    <sheetView showGridLines="0" zoomScaleNormal="100" workbookViewId="0">
      <selection activeCell="J13" sqref="J13"/>
    </sheetView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6" width="18.42578125" style="35" customWidth="1"/>
    <col min="7" max="8" width="18.42578125" style="27" customWidth="1"/>
    <col min="9" max="9" width="18.42578125" style="35" customWidth="1"/>
    <col min="10" max="10" width="18.42578125" style="27" customWidth="1"/>
    <col min="11" max="12" width="18.42578125" customWidth="1"/>
    <col min="13" max="13" width="2.7109375" customWidth="1"/>
    <col min="14" max="14" width="10" customWidth="1"/>
  </cols>
  <sheetData>
    <row r="1" spans="1:12" ht="15" customHeight="1" x14ac:dyDescent="0.25">
      <c r="B1" s="10"/>
      <c r="C1" s="47">
        <f>КалендарРік</f>
        <v>2025</v>
      </c>
      <c r="D1" s="10"/>
    </row>
    <row r="2" spans="1:12" s="3" customFormat="1" ht="35.25" customHeight="1" x14ac:dyDescent="0.3">
      <c r="A2" s="2"/>
      <c r="B2" s="11"/>
      <c r="C2" s="47"/>
      <c r="D2" s="11"/>
      <c r="E2" s="2"/>
      <c r="F2" s="36" t="str">
        <f>UPPER(TEXT(ПочатокТижня,"ddd"))</f>
        <v>ПН</v>
      </c>
      <c r="G2" s="28" t="str">
        <f t="shared" ref="G2:L2" si="0">UPPER(TEXT(G3,"ddd"))</f>
        <v>ВТ</v>
      </c>
      <c r="H2" s="28" t="str">
        <f t="shared" si="0"/>
        <v>СР</v>
      </c>
      <c r="I2" s="36" t="str">
        <f t="shared" si="0"/>
        <v>ЧТ</v>
      </c>
      <c r="J2" s="28" t="str">
        <f t="shared" si="0"/>
        <v>ПТ</v>
      </c>
      <c r="K2" s="13" t="str">
        <f t="shared" si="0"/>
        <v>СБ</v>
      </c>
      <c r="L2" s="13" t="str">
        <f t="shared" si="0"/>
        <v>НД</v>
      </c>
    </row>
    <row r="3" spans="1:12" s="5" customFormat="1" ht="19.5" customHeight="1" x14ac:dyDescent="0.3">
      <c r="A3" s="4"/>
      <c r="B3" s="12"/>
      <c r="C3" s="47"/>
      <c r="D3" s="12"/>
      <c r="E3" s="4"/>
      <c r="F3" s="37">
        <f t="array" ref="F3:L3">ДніТаТижні+DATE(КалендарРік,4,1)-WEEKDAY(DATE(КалендарРік,4,1),(ПочатокТижня="ПН")+1)+1</f>
        <v>45747</v>
      </c>
      <c r="G3" s="29">
        <v>45748</v>
      </c>
      <c r="H3" s="29">
        <v>45749</v>
      </c>
      <c r="I3" s="37">
        <v>45750</v>
      </c>
      <c r="J3" s="29">
        <v>45751</v>
      </c>
      <c r="K3" s="14">
        <v>45752</v>
      </c>
      <c r="L3" s="16">
        <v>45753</v>
      </c>
    </row>
    <row r="4" spans="1:12" s="5" customFormat="1" ht="19.5" customHeight="1" x14ac:dyDescent="0.25">
      <c r="A4" s="4"/>
      <c r="B4" s="12"/>
      <c r="C4" s="47"/>
      <c r="D4" s="12"/>
      <c r="E4" s="4"/>
      <c r="F4" s="75"/>
      <c r="G4" s="62" t="s">
        <v>6</v>
      </c>
      <c r="H4" s="62" t="s">
        <v>6</v>
      </c>
      <c r="I4" s="64" t="s">
        <v>7</v>
      </c>
      <c r="J4" s="66" t="s">
        <v>8</v>
      </c>
      <c r="K4" s="48"/>
      <c r="L4" s="50"/>
    </row>
    <row r="5" spans="1:12" ht="55.5" customHeight="1" x14ac:dyDescent="0.25">
      <c r="B5" s="59" t="str">
        <f>UPPER(TEXT(F6,"mmmm"))</f>
        <v>КВІТЕНЬ</v>
      </c>
      <c r="C5" s="59"/>
      <c r="D5" s="59"/>
      <c r="F5" s="76"/>
      <c r="G5" s="63"/>
      <c r="H5" s="63"/>
      <c r="I5" s="65"/>
      <c r="J5" s="67"/>
      <c r="K5" s="49"/>
      <c r="L5" s="51"/>
    </row>
    <row r="6" spans="1:12" s="5" customFormat="1" ht="19.5" customHeight="1" x14ac:dyDescent="0.3">
      <c r="A6" s="4"/>
      <c r="B6" s="39"/>
      <c r="C6" s="39"/>
      <c r="D6" s="39"/>
      <c r="E6" s="4"/>
      <c r="F6" s="37">
        <f t="array" ref="F6:L6">ДніТаТижні+DATE(КалендарРік,4,1)-WEEKDAY(DATE(КалендарРік,4,1),(ПочатокТижня="ПН")+1)+8</f>
        <v>45754</v>
      </c>
      <c r="G6" s="29">
        <v>45755</v>
      </c>
      <c r="H6" s="29">
        <v>45756</v>
      </c>
      <c r="I6" s="37">
        <v>45757</v>
      </c>
      <c r="J6" s="29">
        <v>45758</v>
      </c>
      <c r="K6" s="14">
        <v>45759</v>
      </c>
      <c r="L6" s="16">
        <v>45760</v>
      </c>
    </row>
    <row r="7" spans="1:12" ht="75" customHeight="1" x14ac:dyDescent="0.25">
      <c r="B7" s="39"/>
      <c r="C7" s="39"/>
      <c r="D7" s="39"/>
      <c r="F7" s="21" t="s">
        <v>5</v>
      </c>
      <c r="G7" s="25" t="s">
        <v>6</v>
      </c>
      <c r="H7" s="25" t="s">
        <v>6</v>
      </c>
      <c r="I7" s="23" t="s">
        <v>7</v>
      </c>
      <c r="J7" s="24" t="s">
        <v>8</v>
      </c>
      <c r="L7" s="19"/>
    </row>
    <row r="8" spans="1:12" s="5" customFormat="1" ht="19.5" customHeight="1" x14ac:dyDescent="0.3">
      <c r="A8" s="4"/>
      <c r="B8" s="39"/>
      <c r="C8" s="39"/>
      <c r="D8" s="39"/>
      <c r="E8" s="4"/>
      <c r="F8" s="37">
        <f t="array" ref="F8:L8">ДніТаТижні+DATE(КалендарРік,4,1)-WEEKDAY(DATE(КалендарРік,4,1),(ПочатокТижня="ПН")+1)+15</f>
        <v>45761</v>
      </c>
      <c r="G8" s="29">
        <v>45762</v>
      </c>
      <c r="H8" s="29">
        <v>45763</v>
      </c>
      <c r="I8" s="37">
        <v>45764</v>
      </c>
      <c r="J8" s="29">
        <v>45765</v>
      </c>
      <c r="K8" s="14">
        <v>45766</v>
      </c>
      <c r="L8" s="16">
        <v>45767</v>
      </c>
    </row>
    <row r="9" spans="1:12" ht="75" customHeight="1" x14ac:dyDescent="0.25">
      <c r="B9" s="39"/>
      <c r="C9" s="39"/>
      <c r="D9" s="39"/>
      <c r="F9" s="21" t="s">
        <v>5</v>
      </c>
      <c r="G9" s="25" t="s">
        <v>6</v>
      </c>
      <c r="H9" s="25" t="s">
        <v>6</v>
      </c>
      <c r="I9" s="23" t="s">
        <v>7</v>
      </c>
      <c r="J9" s="24" t="s">
        <v>8</v>
      </c>
      <c r="L9" s="19"/>
    </row>
    <row r="10" spans="1:12" s="5" customFormat="1" ht="19.5" customHeight="1" x14ac:dyDescent="0.3">
      <c r="A10" s="4"/>
      <c r="B10" s="39"/>
      <c r="C10" s="39"/>
      <c r="D10" s="39"/>
      <c r="E10" s="4"/>
      <c r="F10" s="37">
        <f t="array" ref="F10:L10">ДніТаТижні+DATE(КалендарРік,4,1)-WEEKDAY(DATE(КалендарРік,4,1),(ПочатокТижня="ПН")+1)+22</f>
        <v>45768</v>
      </c>
      <c r="G10" s="29">
        <v>45769</v>
      </c>
      <c r="H10" s="29">
        <v>45770</v>
      </c>
      <c r="I10" s="37">
        <v>45771</v>
      </c>
      <c r="J10" s="29">
        <v>45772</v>
      </c>
      <c r="K10" s="14">
        <v>45773</v>
      </c>
      <c r="L10" s="16">
        <v>45774</v>
      </c>
    </row>
    <row r="11" spans="1:12" ht="75" customHeight="1" x14ac:dyDescent="0.25">
      <c r="B11" s="39"/>
      <c r="C11" s="39"/>
      <c r="D11" s="39"/>
      <c r="F11" s="21" t="s">
        <v>5</v>
      </c>
      <c r="G11" s="25" t="s">
        <v>6</v>
      </c>
      <c r="H11" s="25" t="s">
        <v>6</v>
      </c>
      <c r="I11" s="23" t="s">
        <v>7</v>
      </c>
      <c r="J11" s="24" t="s">
        <v>8</v>
      </c>
      <c r="L11" s="19"/>
    </row>
    <row r="12" spans="1:12" s="5" customFormat="1" ht="19.5" customHeight="1" x14ac:dyDescent="0.3">
      <c r="A12" s="4"/>
      <c r="B12" s="39"/>
      <c r="C12" s="39"/>
      <c r="D12" s="39"/>
      <c r="E12" s="4"/>
      <c r="F12" s="37">
        <f t="array" ref="F12:L12">ДніТаТижні+DATE(КалендарРік,4,1)-WEEKDAY(DATE(КалендарРік,4,1),(ПочатокТижня="ПН")+1)+29</f>
        <v>45775</v>
      </c>
      <c r="G12" s="29">
        <v>45776</v>
      </c>
      <c r="H12" s="29">
        <v>45777</v>
      </c>
      <c r="I12" s="37">
        <v>45778</v>
      </c>
      <c r="J12" s="29">
        <v>45779</v>
      </c>
      <c r="K12" s="14">
        <v>45780</v>
      </c>
      <c r="L12" s="14">
        <v>45781</v>
      </c>
    </row>
    <row r="13" spans="1:12" ht="75" customHeight="1" x14ac:dyDescent="0.25">
      <c r="B13" s="39"/>
      <c r="C13" s="39"/>
      <c r="D13" s="39"/>
      <c r="F13" s="21" t="s">
        <v>5</v>
      </c>
      <c r="G13" s="25" t="s">
        <v>6</v>
      </c>
      <c r="H13" s="25" t="s">
        <v>6</v>
      </c>
      <c r="I13" s="38"/>
      <c r="J13" s="77"/>
      <c r="L13" s="19"/>
    </row>
    <row r="14" spans="1:12" s="5" customFormat="1" ht="19.5" customHeight="1" x14ac:dyDescent="0.25">
      <c r="A14" s="4"/>
      <c r="B14" s="39"/>
      <c r="C14" s="39"/>
      <c r="D14" s="39"/>
      <c r="E14" s="4"/>
      <c r="F14" s="37">
        <f t="array" ref="F14:G14">ДніТаТижні+DATE(КалендарРік,4,1)-WEEKDAY(DATE(КалендарРік,4,1),(ПочатокТижня="ПН")+1)+36</f>
        <v>45782</v>
      </c>
      <c r="G14" s="29">
        <v>45783</v>
      </c>
      <c r="H14" s="60" t="s">
        <v>4</v>
      </c>
      <c r="I14" s="42"/>
      <c r="J14" s="42"/>
      <c r="K14" s="42"/>
      <c r="L14" s="43"/>
    </row>
    <row r="15" spans="1:12" ht="75" customHeight="1" x14ac:dyDescent="0.25">
      <c r="B15" s="10"/>
      <c r="C15" s="10"/>
      <c r="D15" s="10"/>
      <c r="F15" s="26"/>
      <c r="G15" s="30"/>
      <c r="H15" s="61"/>
      <c r="I15" s="44"/>
      <c r="J15" s="44"/>
      <c r="K15" s="44"/>
      <c r="L15" s="45"/>
    </row>
  </sheetData>
  <mergeCells count="12">
    <mergeCell ref="B6:D14"/>
    <mergeCell ref="H14:H15"/>
    <mergeCell ref="I14:L15"/>
    <mergeCell ref="C1:C4"/>
    <mergeCell ref="L4:L5"/>
    <mergeCell ref="F4:F5"/>
    <mergeCell ref="G4:G5"/>
    <mergeCell ref="H4:H5"/>
    <mergeCell ref="I4:I5"/>
    <mergeCell ref="J4:J5"/>
    <mergeCell ref="K4:K5"/>
    <mergeCell ref="B5:D5"/>
  </mergeCells>
  <conditionalFormatting sqref="F3:F15">
    <cfRule type="expression" dxfId="47" priority="3">
      <formula>F$2="НД"</formula>
    </cfRule>
  </conditionalFormatting>
  <conditionalFormatting sqref="F3:K4">
    <cfRule type="expression" dxfId="46" priority="4">
      <formula>DAY(F3)&gt;8</formula>
    </cfRule>
  </conditionalFormatting>
  <conditionalFormatting sqref="F12:L12 F14:G14">
    <cfRule type="expression" dxfId="45" priority="5">
      <formula>AND(DAY(F12)&gt;=1,DAY(F12)&lt;=15)</formula>
    </cfRule>
  </conditionalFormatting>
  <conditionalFormatting sqref="K3:L4 K6:L13">
    <cfRule type="expression" dxfId="44" priority="2">
      <formula>K$2="СБ"</formula>
    </cfRule>
  </conditionalFormatting>
  <conditionalFormatting sqref="L3:L4 L6:L13">
    <cfRule type="expression" dxfId="43" priority="1">
      <formula>$L$2="НД"</formula>
    </cfRule>
  </conditionalFormatting>
  <printOptions horizontalCentered="1" verticalCentered="1"/>
  <pageMargins left="0.25" right="0.25" top="0.5" bottom="0.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L15"/>
  <sheetViews>
    <sheetView showGridLines="0" zoomScaleNormal="100" workbookViewId="0">
      <selection activeCell="H4" sqref="H4:H5"/>
    </sheetView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6" width="18.42578125" style="35" customWidth="1"/>
    <col min="7" max="8" width="18.42578125" style="27" customWidth="1"/>
    <col min="9" max="9" width="18.42578125" style="35" customWidth="1"/>
    <col min="10" max="10" width="18.42578125" style="27" customWidth="1"/>
    <col min="11" max="12" width="18.42578125" customWidth="1"/>
    <col min="13" max="13" width="2.7109375" customWidth="1"/>
    <col min="14" max="14" width="10" customWidth="1"/>
  </cols>
  <sheetData>
    <row r="1" spans="1:12" ht="15" customHeight="1" x14ac:dyDescent="0.25">
      <c r="B1" s="10"/>
      <c r="C1" s="47">
        <f>КалендарРік</f>
        <v>2025</v>
      </c>
      <c r="D1" s="10"/>
    </row>
    <row r="2" spans="1:12" s="3" customFormat="1" ht="35.25" customHeight="1" x14ac:dyDescent="0.3">
      <c r="A2" s="2"/>
      <c r="B2" s="11"/>
      <c r="C2" s="47"/>
      <c r="D2" s="11"/>
      <c r="E2" s="2"/>
      <c r="F2" s="36" t="str">
        <f>UPPER(TEXT(ПочатокТижня,"ddd"))</f>
        <v>ПН</v>
      </c>
      <c r="G2" s="28" t="str">
        <f t="shared" ref="G2:L2" si="0">UPPER(TEXT(G3,"ddd"))</f>
        <v>ВТ</v>
      </c>
      <c r="H2" s="28" t="str">
        <f t="shared" si="0"/>
        <v>СР</v>
      </c>
      <c r="I2" s="36" t="str">
        <f t="shared" si="0"/>
        <v>ЧТ</v>
      </c>
      <c r="J2" s="28" t="str">
        <f t="shared" si="0"/>
        <v>ПТ</v>
      </c>
      <c r="K2" s="13" t="str">
        <f t="shared" si="0"/>
        <v>СБ</v>
      </c>
      <c r="L2" s="13" t="str">
        <f t="shared" si="0"/>
        <v>НД</v>
      </c>
    </row>
    <row r="3" spans="1:12" s="5" customFormat="1" ht="19.5" customHeight="1" x14ac:dyDescent="0.3">
      <c r="A3" s="4"/>
      <c r="B3" s="12"/>
      <c r="C3" s="47"/>
      <c r="D3" s="12"/>
      <c r="E3" s="4"/>
      <c r="F3" s="37">
        <f t="array" ref="F3:L3">ДніТаТижні+DATE(КалендарРік,5,1)-WEEKDAY(DATE(КалендарРік,5,1),(ПочатокТижня="ПН")+1)+1</f>
        <v>45775</v>
      </c>
      <c r="G3" s="29">
        <v>45776</v>
      </c>
      <c r="H3" s="29">
        <v>45777</v>
      </c>
      <c r="I3" s="37">
        <v>45778</v>
      </c>
      <c r="J3" s="29">
        <v>45779</v>
      </c>
      <c r="K3" s="14">
        <v>45780</v>
      </c>
      <c r="L3" s="16">
        <v>45781</v>
      </c>
    </row>
    <row r="4" spans="1:12" s="5" customFormat="1" ht="19.5" customHeight="1" x14ac:dyDescent="0.25">
      <c r="A4" s="4"/>
      <c r="B4" s="12"/>
      <c r="C4" s="47"/>
      <c r="D4" s="12"/>
      <c r="E4" s="4"/>
      <c r="F4" s="75"/>
      <c r="G4" s="78"/>
      <c r="H4" s="78"/>
      <c r="I4" s="64" t="s">
        <v>7</v>
      </c>
      <c r="J4" s="66" t="s">
        <v>8</v>
      </c>
      <c r="K4" s="48"/>
      <c r="L4" s="50"/>
    </row>
    <row r="5" spans="1:12" ht="55.5" customHeight="1" x14ac:dyDescent="0.25">
      <c r="B5" s="59" t="str">
        <f>UPPER(TEXT(F6,"mmmm"))</f>
        <v>ТРАВЕНЬ</v>
      </c>
      <c r="C5" s="59"/>
      <c r="D5" s="59"/>
      <c r="F5" s="76"/>
      <c r="G5" s="79"/>
      <c r="H5" s="79"/>
      <c r="I5" s="65"/>
      <c r="J5" s="67"/>
      <c r="K5" s="49"/>
      <c r="L5" s="51"/>
    </row>
    <row r="6" spans="1:12" s="5" customFormat="1" ht="19.5" customHeight="1" x14ac:dyDescent="0.3">
      <c r="A6" s="4"/>
      <c r="B6" s="39"/>
      <c r="C6" s="39"/>
      <c r="D6" s="39"/>
      <c r="E6" s="4"/>
      <c r="F6" s="37">
        <f t="array" ref="F6:L6">ДніТаТижні+DATE(КалендарРік,5,1)-WEEKDAY(DATE(КалендарРік,5,1),(ПочатокТижня="ПН")+1)+8</f>
        <v>45782</v>
      </c>
      <c r="G6" s="29">
        <v>45783</v>
      </c>
      <c r="H6" s="29">
        <v>45784</v>
      </c>
      <c r="I6" s="37">
        <v>45785</v>
      </c>
      <c r="J6" s="29">
        <v>45786</v>
      </c>
      <c r="K6" s="14">
        <v>45787</v>
      </c>
      <c r="L6" s="16">
        <v>45788</v>
      </c>
    </row>
    <row r="7" spans="1:12" ht="75" customHeight="1" x14ac:dyDescent="0.25">
      <c r="B7" s="39"/>
      <c r="C7" s="39"/>
      <c r="D7" s="39"/>
      <c r="F7" s="21" t="s">
        <v>5</v>
      </c>
      <c r="G7" s="25" t="s">
        <v>6</v>
      </c>
      <c r="H7" s="25" t="s">
        <v>6</v>
      </c>
      <c r="I7" s="23" t="s">
        <v>7</v>
      </c>
      <c r="J7" s="24" t="s">
        <v>8</v>
      </c>
      <c r="L7" s="19"/>
    </row>
    <row r="8" spans="1:12" s="5" customFormat="1" ht="19.5" customHeight="1" x14ac:dyDescent="0.3">
      <c r="A8" s="4"/>
      <c r="B8" s="39"/>
      <c r="C8" s="39"/>
      <c r="D8" s="39"/>
      <c r="E8" s="4"/>
      <c r="F8" s="37">
        <f t="array" ref="F8:L8">ДніТаТижні+DATE(КалендарРік,5,1)-WEEKDAY(DATE(КалендарРік,5,1),(ПочатокТижня="ПН")+1)+15</f>
        <v>45789</v>
      </c>
      <c r="G8" s="29">
        <v>45790</v>
      </c>
      <c r="H8" s="29">
        <v>45791</v>
      </c>
      <c r="I8" s="37">
        <v>45792</v>
      </c>
      <c r="J8" s="29">
        <v>45793</v>
      </c>
      <c r="K8" s="14">
        <v>45794</v>
      </c>
      <c r="L8" s="16">
        <v>45795</v>
      </c>
    </row>
    <row r="9" spans="1:12" ht="75" customHeight="1" x14ac:dyDescent="0.25">
      <c r="B9" s="39"/>
      <c r="C9" s="39"/>
      <c r="D9" s="39"/>
      <c r="F9" s="21" t="s">
        <v>5</v>
      </c>
      <c r="G9" s="25" t="s">
        <v>6</v>
      </c>
      <c r="H9" s="25" t="s">
        <v>6</v>
      </c>
      <c r="I9" s="23" t="s">
        <v>7</v>
      </c>
      <c r="J9" s="24" t="s">
        <v>8</v>
      </c>
      <c r="L9" s="19"/>
    </row>
    <row r="10" spans="1:12" s="5" customFormat="1" ht="19.5" customHeight="1" x14ac:dyDescent="0.3">
      <c r="A10" s="4"/>
      <c r="B10" s="39"/>
      <c r="C10" s="39"/>
      <c r="D10" s="39"/>
      <c r="E10" s="4"/>
      <c r="F10" s="37">
        <f t="array" ref="F10:L10">ДніТаТижні+DATE(КалендарРік,5,1)-WEEKDAY(DATE(КалендарРік,5,1),(ПочатокТижня="ПН")+1)+22</f>
        <v>45796</v>
      </c>
      <c r="G10" s="29">
        <v>45797</v>
      </c>
      <c r="H10" s="29">
        <v>45798</v>
      </c>
      <c r="I10" s="37">
        <v>45799</v>
      </c>
      <c r="J10" s="29">
        <v>45800</v>
      </c>
      <c r="K10" s="14">
        <v>45801</v>
      </c>
      <c r="L10" s="16">
        <v>45802</v>
      </c>
    </row>
    <row r="11" spans="1:12" ht="75" customHeight="1" x14ac:dyDescent="0.25">
      <c r="B11" s="39"/>
      <c r="C11" s="39"/>
      <c r="D11" s="39"/>
      <c r="F11" s="21" t="s">
        <v>5</v>
      </c>
      <c r="G11" s="25" t="s">
        <v>6</v>
      </c>
      <c r="H11" s="25" t="s">
        <v>6</v>
      </c>
      <c r="I11" s="23" t="s">
        <v>7</v>
      </c>
      <c r="J11" s="24" t="s">
        <v>8</v>
      </c>
      <c r="L11" s="19"/>
    </row>
    <row r="12" spans="1:12" s="5" customFormat="1" ht="19.5" customHeight="1" x14ac:dyDescent="0.3">
      <c r="A12" s="4"/>
      <c r="B12" s="39"/>
      <c r="C12" s="39"/>
      <c r="D12" s="39"/>
      <c r="E12" s="4"/>
      <c r="F12" s="37">
        <f t="array" ref="F12:L12">ДніТаТижні+DATE(КалендарРік,5,1)-WEEKDAY(DATE(КалендарРік,5,1),(ПочатокТижня="ПН")+1)+29</f>
        <v>45803</v>
      </c>
      <c r="G12" s="29">
        <v>45804</v>
      </c>
      <c r="H12" s="29">
        <v>45805</v>
      </c>
      <c r="I12" s="37">
        <v>45806</v>
      </c>
      <c r="J12" s="29">
        <v>45807</v>
      </c>
      <c r="K12" s="14">
        <v>45808</v>
      </c>
      <c r="L12" s="14">
        <v>45809</v>
      </c>
    </row>
    <row r="13" spans="1:12" ht="75" customHeight="1" x14ac:dyDescent="0.25">
      <c r="B13" s="39"/>
      <c r="C13" s="39"/>
      <c r="D13" s="39"/>
      <c r="F13" s="21" t="s">
        <v>5</v>
      </c>
      <c r="G13" s="25" t="s">
        <v>6</v>
      </c>
      <c r="H13" s="25" t="s">
        <v>6</v>
      </c>
      <c r="I13" s="23" t="s">
        <v>7</v>
      </c>
      <c r="J13" s="24" t="s">
        <v>8</v>
      </c>
      <c r="L13" s="19"/>
    </row>
    <row r="14" spans="1:12" s="5" customFormat="1" ht="19.5" customHeight="1" x14ac:dyDescent="0.25">
      <c r="A14" s="4"/>
      <c r="B14" s="39"/>
      <c r="C14" s="39"/>
      <c r="D14" s="39"/>
      <c r="E14" s="4"/>
      <c r="F14" s="37">
        <f t="array" ref="F14:G14">ДніТаТижні+DATE(КалендарРік,5,1)-WEEKDAY(DATE(КалендарРік,5,1),(ПочатокТижня="ПН")+1)+36</f>
        <v>45810</v>
      </c>
      <c r="G14" s="29">
        <v>45811</v>
      </c>
      <c r="H14" s="60" t="s">
        <v>4</v>
      </c>
      <c r="I14" s="42"/>
      <c r="J14" s="42"/>
      <c r="K14" s="42"/>
      <c r="L14" s="43"/>
    </row>
    <row r="15" spans="1:12" ht="75" customHeight="1" x14ac:dyDescent="0.25">
      <c r="B15" s="10"/>
      <c r="C15" s="10"/>
      <c r="D15" s="10"/>
      <c r="F15" s="26"/>
      <c r="G15" s="30"/>
      <c r="H15" s="61"/>
      <c r="I15" s="44"/>
      <c r="J15" s="44"/>
      <c r="K15" s="44"/>
      <c r="L15" s="45"/>
    </row>
  </sheetData>
  <mergeCells count="12">
    <mergeCell ref="B6:D14"/>
    <mergeCell ref="H14:H15"/>
    <mergeCell ref="I14:L15"/>
    <mergeCell ref="C1:C4"/>
    <mergeCell ref="L4:L5"/>
    <mergeCell ref="F4:F5"/>
    <mergeCell ref="G4:G5"/>
    <mergeCell ref="H4:H5"/>
    <mergeCell ref="I4:I5"/>
    <mergeCell ref="J4:J5"/>
    <mergeCell ref="K4:K5"/>
    <mergeCell ref="B5:D5"/>
  </mergeCells>
  <conditionalFormatting sqref="F3:F15">
    <cfRule type="expression" dxfId="42" priority="3">
      <formula>F$2="НД"</formula>
    </cfRule>
  </conditionalFormatting>
  <conditionalFormatting sqref="F3:K4">
    <cfRule type="expression" dxfId="41" priority="4">
      <formula>DAY(F3)&gt;8</formula>
    </cfRule>
  </conditionalFormatting>
  <conditionalFormatting sqref="F12:L12 F14:G14">
    <cfRule type="expression" dxfId="40" priority="5">
      <formula>AND(DAY(F12)&gt;=1,DAY(F12)&lt;=15)</formula>
    </cfRule>
  </conditionalFormatting>
  <conditionalFormatting sqref="K3:L4 K6:L13">
    <cfRule type="expression" dxfId="39" priority="2">
      <formula>K$2="СБ"</formula>
    </cfRule>
  </conditionalFormatting>
  <conditionalFormatting sqref="L3:L4 L6:L13">
    <cfRule type="expression" dxfId="38" priority="1">
      <formula>$L$2="НД"</formula>
    </cfRule>
  </conditionalFormatting>
  <printOptions horizontalCentered="1" verticalCentered="1"/>
  <pageMargins left="0.25" right="0.25" top="0.5" bottom="0.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autoPageBreaks="0" fitToPage="1"/>
  </sheetPr>
  <dimension ref="A1:L15"/>
  <sheetViews>
    <sheetView showGridLines="0" topLeftCell="A10" zoomScaleNormal="100" workbookViewId="0">
      <selection activeCell="F15" sqref="F15"/>
    </sheetView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6" width="18.42578125" style="35" customWidth="1"/>
    <col min="7" max="8" width="18.42578125" style="27" customWidth="1"/>
    <col min="9" max="9" width="18.42578125" style="35" customWidth="1"/>
    <col min="10" max="10" width="18.42578125" style="27" customWidth="1"/>
    <col min="11" max="12" width="18.42578125" customWidth="1"/>
    <col min="13" max="13" width="2.7109375" customWidth="1"/>
    <col min="14" max="14" width="10" customWidth="1"/>
  </cols>
  <sheetData>
    <row r="1" spans="1:12" ht="15" customHeight="1" x14ac:dyDescent="0.25">
      <c r="B1" s="10"/>
      <c r="C1" s="47">
        <f>КалендарРік</f>
        <v>2025</v>
      </c>
      <c r="D1" s="10"/>
    </row>
    <row r="2" spans="1:12" s="3" customFormat="1" ht="35.25" customHeight="1" x14ac:dyDescent="0.3">
      <c r="A2" s="2"/>
      <c r="B2" s="11"/>
      <c r="C2" s="47"/>
      <c r="D2" s="11"/>
      <c r="E2" s="2"/>
      <c r="F2" s="36" t="str">
        <f>UPPER(TEXT(ПочатокТижня,"ddd"))</f>
        <v>ПН</v>
      </c>
      <c r="G2" s="28" t="str">
        <f t="shared" ref="G2:L2" si="0">UPPER(TEXT(G3,"ddd"))</f>
        <v>ВТ</v>
      </c>
      <c r="H2" s="28" t="str">
        <f t="shared" si="0"/>
        <v>СР</v>
      </c>
      <c r="I2" s="36" t="str">
        <f t="shared" si="0"/>
        <v>ЧТ</v>
      </c>
      <c r="J2" s="28" t="str">
        <f t="shared" si="0"/>
        <v>ПТ</v>
      </c>
      <c r="K2" s="13" t="str">
        <f t="shared" si="0"/>
        <v>СБ</v>
      </c>
      <c r="L2" s="13" t="str">
        <f t="shared" si="0"/>
        <v>НД</v>
      </c>
    </row>
    <row r="3" spans="1:12" s="5" customFormat="1" ht="19.5" customHeight="1" x14ac:dyDescent="0.3">
      <c r="A3" s="4"/>
      <c r="B3" s="12"/>
      <c r="C3" s="47"/>
      <c r="D3" s="12"/>
      <c r="E3" s="4"/>
      <c r="F3" s="37">
        <f t="array" ref="F3:L3">ДніТаТижні+DATE(КалендарРік,6,1)-WEEKDAY(DATE(КалендарРік,6,1),(ПочатокТижня="ПН")+1)+1</f>
        <v>45803</v>
      </c>
      <c r="G3" s="29">
        <v>45804</v>
      </c>
      <c r="H3" s="29">
        <v>45805</v>
      </c>
      <c r="I3" s="37">
        <v>45806</v>
      </c>
      <c r="J3" s="29">
        <v>45807</v>
      </c>
      <c r="K3" s="14">
        <v>45808</v>
      </c>
      <c r="L3" s="16">
        <v>45809</v>
      </c>
    </row>
    <row r="4" spans="1:12" s="5" customFormat="1" ht="19.5" customHeight="1" x14ac:dyDescent="0.25">
      <c r="A4" s="4"/>
      <c r="B4" s="12"/>
      <c r="C4" s="47"/>
      <c r="D4" s="12"/>
      <c r="E4" s="4"/>
      <c r="F4" s="75"/>
      <c r="G4" s="78"/>
      <c r="H4" s="78"/>
      <c r="I4" s="75"/>
      <c r="J4" s="78"/>
      <c r="K4" s="48"/>
      <c r="L4" s="50"/>
    </row>
    <row r="5" spans="1:12" ht="55.5" customHeight="1" x14ac:dyDescent="0.25">
      <c r="B5" s="59" t="str">
        <f>UPPER(TEXT(F6,"mmmm"))</f>
        <v>ЧЕРВЕНЬ</v>
      </c>
      <c r="C5" s="59"/>
      <c r="D5" s="59"/>
      <c r="F5" s="76"/>
      <c r="G5" s="79"/>
      <c r="H5" s="79"/>
      <c r="I5" s="76"/>
      <c r="J5" s="79"/>
      <c r="K5" s="49"/>
      <c r="L5" s="51"/>
    </row>
    <row r="6" spans="1:12" s="5" customFormat="1" ht="19.5" customHeight="1" x14ac:dyDescent="0.3">
      <c r="A6" s="4"/>
      <c r="B6" s="39"/>
      <c r="C6" s="39"/>
      <c r="D6" s="39"/>
      <c r="E6" s="4"/>
      <c r="F6" s="37">
        <f t="array" ref="F6:L6">ДніТаТижні+DATE(КалендарРік,6,1)-WEEKDAY(DATE(КалендарРік,6,1),(ПочатокТижня="ПН")+1)+8</f>
        <v>45810</v>
      </c>
      <c r="G6" s="29">
        <v>45811</v>
      </c>
      <c r="H6" s="29">
        <v>45812</v>
      </c>
      <c r="I6" s="37">
        <v>45813</v>
      </c>
      <c r="J6" s="29">
        <v>45814</v>
      </c>
      <c r="K6" s="14">
        <v>45815</v>
      </c>
      <c r="L6" s="16">
        <v>45816</v>
      </c>
    </row>
    <row r="7" spans="1:12" ht="75" customHeight="1" x14ac:dyDescent="0.25">
      <c r="B7" s="39"/>
      <c r="C7" s="39"/>
      <c r="D7" s="39"/>
      <c r="F7" s="21" t="s">
        <v>5</v>
      </c>
      <c r="G7" s="25" t="s">
        <v>6</v>
      </c>
      <c r="H7" s="25" t="s">
        <v>6</v>
      </c>
      <c r="I7" s="23" t="s">
        <v>7</v>
      </c>
      <c r="J7" s="24" t="s">
        <v>8</v>
      </c>
      <c r="L7" s="19"/>
    </row>
    <row r="8" spans="1:12" s="5" customFormat="1" ht="19.5" customHeight="1" x14ac:dyDescent="0.3">
      <c r="A8" s="4"/>
      <c r="B8" s="39"/>
      <c r="C8" s="39"/>
      <c r="D8" s="39"/>
      <c r="E8" s="4"/>
      <c r="F8" s="37">
        <f t="array" ref="F8:L8">ДніТаТижні+DATE(КалендарРік,6,1)-WEEKDAY(DATE(КалендарРік,6,1),(ПочатокТижня="ПН")+1)+15</f>
        <v>45817</v>
      </c>
      <c r="G8" s="29">
        <v>45818</v>
      </c>
      <c r="H8" s="29">
        <v>45819</v>
      </c>
      <c r="I8" s="37">
        <v>45820</v>
      </c>
      <c r="J8" s="29">
        <v>45821</v>
      </c>
      <c r="K8" s="14">
        <v>45822</v>
      </c>
      <c r="L8" s="16">
        <v>45823</v>
      </c>
    </row>
    <row r="9" spans="1:12" ht="75" customHeight="1" x14ac:dyDescent="0.25">
      <c r="B9" s="39"/>
      <c r="C9" s="39"/>
      <c r="D9" s="39"/>
      <c r="F9" s="21" t="s">
        <v>5</v>
      </c>
      <c r="G9" s="25" t="s">
        <v>6</v>
      </c>
      <c r="H9" s="25" t="s">
        <v>6</v>
      </c>
      <c r="I9" s="23" t="s">
        <v>7</v>
      </c>
      <c r="J9" s="24" t="s">
        <v>8</v>
      </c>
      <c r="L9" s="19"/>
    </row>
    <row r="10" spans="1:12" s="5" customFormat="1" ht="19.5" customHeight="1" x14ac:dyDescent="0.3">
      <c r="A10" s="4"/>
      <c r="B10" s="39"/>
      <c r="C10" s="39"/>
      <c r="D10" s="39"/>
      <c r="E10" s="4"/>
      <c r="F10" s="37">
        <f t="array" ref="F10:L10">ДніТаТижні+DATE(КалендарРік,6,1)-WEEKDAY(DATE(КалендарРік,6,1),(ПочатокТижня="ПН")+1)+22</f>
        <v>45824</v>
      </c>
      <c r="G10" s="29">
        <v>45825</v>
      </c>
      <c r="H10" s="29">
        <v>45826</v>
      </c>
      <c r="I10" s="37">
        <v>45827</v>
      </c>
      <c r="J10" s="29">
        <v>45828</v>
      </c>
      <c r="K10" s="14">
        <v>45829</v>
      </c>
      <c r="L10" s="16">
        <v>45830</v>
      </c>
    </row>
    <row r="11" spans="1:12" ht="75" customHeight="1" x14ac:dyDescent="0.25">
      <c r="B11" s="39"/>
      <c r="C11" s="39"/>
      <c r="D11" s="39"/>
      <c r="F11" s="21" t="s">
        <v>5</v>
      </c>
      <c r="G11" s="25" t="s">
        <v>6</v>
      </c>
      <c r="H11" s="25" t="s">
        <v>6</v>
      </c>
      <c r="I11" s="23" t="s">
        <v>7</v>
      </c>
      <c r="J11" s="24" t="s">
        <v>8</v>
      </c>
      <c r="L11" s="19"/>
    </row>
    <row r="12" spans="1:12" s="5" customFormat="1" ht="19.5" customHeight="1" x14ac:dyDescent="0.3">
      <c r="A12" s="4"/>
      <c r="B12" s="39"/>
      <c r="C12" s="39"/>
      <c r="D12" s="39"/>
      <c r="E12" s="4"/>
      <c r="F12" s="37">
        <f t="array" ref="F12:L12">ДніТаТижні+DATE(КалендарРік,6,1)-WEEKDAY(DATE(КалендарРік,6,1),(ПочатокТижня="ПН")+1)+29</f>
        <v>45831</v>
      </c>
      <c r="G12" s="29">
        <v>45832</v>
      </c>
      <c r="H12" s="29">
        <v>45833</v>
      </c>
      <c r="I12" s="37">
        <v>45834</v>
      </c>
      <c r="J12" s="29">
        <v>45835</v>
      </c>
      <c r="K12" s="14">
        <v>45836</v>
      </c>
      <c r="L12" s="14">
        <v>45837</v>
      </c>
    </row>
    <row r="13" spans="1:12" ht="75" customHeight="1" x14ac:dyDescent="0.25">
      <c r="B13" s="39"/>
      <c r="C13" s="39"/>
      <c r="D13" s="39"/>
      <c r="F13" s="21" t="s">
        <v>5</v>
      </c>
      <c r="G13" s="25" t="s">
        <v>6</v>
      </c>
      <c r="H13" s="25" t="s">
        <v>6</v>
      </c>
      <c r="I13" s="23" t="s">
        <v>7</v>
      </c>
      <c r="J13" s="24" t="s">
        <v>8</v>
      </c>
      <c r="L13" s="19"/>
    </row>
    <row r="14" spans="1:12" s="5" customFormat="1" ht="19.5" customHeight="1" x14ac:dyDescent="0.25">
      <c r="A14" s="4"/>
      <c r="B14" s="39"/>
      <c r="C14" s="39"/>
      <c r="D14" s="39"/>
      <c r="E14" s="4"/>
      <c r="F14" s="37">
        <f t="array" ref="F14:G14">ДніТаТижні+DATE(КалендарРік,6,1)-WEEKDAY(DATE(КалендарРік,6,1),(ПочатокТижня="ПН")+1)+36</f>
        <v>45838</v>
      </c>
      <c r="G14" s="29">
        <v>45839</v>
      </c>
      <c r="H14" s="60" t="s">
        <v>4</v>
      </c>
      <c r="I14" s="42"/>
      <c r="J14" s="42"/>
      <c r="K14" s="42"/>
      <c r="L14" s="43"/>
    </row>
    <row r="15" spans="1:12" ht="75" customHeight="1" x14ac:dyDescent="0.25">
      <c r="B15" s="10"/>
      <c r="C15" s="10"/>
      <c r="D15" s="10"/>
      <c r="F15" s="21" t="s">
        <v>5</v>
      </c>
      <c r="G15" s="30"/>
      <c r="H15" s="61"/>
      <c r="I15" s="44"/>
      <c r="J15" s="44"/>
      <c r="K15" s="44"/>
      <c r="L15" s="45"/>
    </row>
  </sheetData>
  <mergeCells count="12">
    <mergeCell ref="B6:D14"/>
    <mergeCell ref="H14:H15"/>
    <mergeCell ref="I14:L15"/>
    <mergeCell ref="C1:C4"/>
    <mergeCell ref="L4:L5"/>
    <mergeCell ref="F4:F5"/>
    <mergeCell ref="G4:G5"/>
    <mergeCell ref="H4:H5"/>
    <mergeCell ref="I4:I5"/>
    <mergeCell ref="J4:J5"/>
    <mergeCell ref="K4:K5"/>
    <mergeCell ref="B5:D5"/>
  </mergeCells>
  <conditionalFormatting sqref="F3:F15">
    <cfRule type="expression" dxfId="37" priority="3">
      <formula>F$2="НД"</formula>
    </cfRule>
  </conditionalFormatting>
  <conditionalFormatting sqref="F3:K4">
    <cfRule type="expression" dxfId="36" priority="4">
      <formula>DAY(F3)&gt;8</formula>
    </cfRule>
  </conditionalFormatting>
  <conditionalFormatting sqref="F12:L12 F14:G14">
    <cfRule type="expression" dxfId="35" priority="5">
      <formula>AND(DAY(F12)&gt;=1,DAY(F12)&lt;=15)</formula>
    </cfRule>
  </conditionalFormatting>
  <conditionalFormatting sqref="K3:L4 K6:L13">
    <cfRule type="expression" dxfId="34" priority="2">
      <formula>K$2="СБ"</formula>
    </cfRule>
  </conditionalFormatting>
  <conditionalFormatting sqref="L3:L4 L6:L13">
    <cfRule type="expression" dxfId="33" priority="1">
      <formula>$L$2="НД"</formula>
    </cfRule>
  </conditionalFormatting>
  <printOptions horizontalCentered="1" verticalCentered="1"/>
  <pageMargins left="0.25" right="0.25" top="0.5" bottom="0.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autoPageBreaks="0" fitToPage="1"/>
  </sheetPr>
  <dimension ref="A1:L15"/>
  <sheetViews>
    <sheetView showGridLines="0" topLeftCell="A10" zoomScaleNormal="100" workbookViewId="0">
      <selection activeCell="G15" sqref="G15"/>
    </sheetView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6" width="18.42578125" style="35" customWidth="1"/>
    <col min="7" max="8" width="18.42578125" style="27" customWidth="1"/>
    <col min="9" max="9" width="18.42578125" style="35" customWidth="1"/>
    <col min="10" max="10" width="18.42578125" style="27" customWidth="1"/>
    <col min="11" max="12" width="18.42578125" customWidth="1"/>
    <col min="13" max="13" width="2.7109375" customWidth="1"/>
    <col min="14" max="14" width="10" customWidth="1"/>
  </cols>
  <sheetData>
    <row r="1" spans="1:12" ht="15" customHeight="1" x14ac:dyDescent="0.25">
      <c r="B1" s="10"/>
      <c r="C1" s="47">
        <f>КалендарРік</f>
        <v>2025</v>
      </c>
      <c r="D1" s="10"/>
    </row>
    <row r="2" spans="1:12" s="3" customFormat="1" ht="35.25" customHeight="1" x14ac:dyDescent="0.3">
      <c r="A2" s="2"/>
      <c r="B2" s="11"/>
      <c r="C2" s="47"/>
      <c r="D2" s="11"/>
      <c r="E2" s="2"/>
      <c r="F2" s="36" t="str">
        <f>UPPER(TEXT(ПочатокТижня,"ddd"))</f>
        <v>ПН</v>
      </c>
      <c r="G2" s="28" t="str">
        <f t="shared" ref="G2:L2" si="0">UPPER(TEXT(G3,"ddd"))</f>
        <v>ВТ</v>
      </c>
      <c r="H2" s="28" t="str">
        <f t="shared" si="0"/>
        <v>СР</v>
      </c>
      <c r="I2" s="36" t="str">
        <f t="shared" si="0"/>
        <v>ЧТ</v>
      </c>
      <c r="J2" s="28" t="str">
        <f t="shared" si="0"/>
        <v>ПТ</v>
      </c>
      <c r="K2" s="13" t="str">
        <f t="shared" si="0"/>
        <v>СБ</v>
      </c>
      <c r="L2" s="13" t="str">
        <f t="shared" si="0"/>
        <v>НД</v>
      </c>
    </row>
    <row r="3" spans="1:12" s="5" customFormat="1" ht="19.5" customHeight="1" x14ac:dyDescent="0.3">
      <c r="A3" s="4"/>
      <c r="B3" s="12"/>
      <c r="C3" s="47"/>
      <c r="D3" s="12"/>
      <c r="E3" s="4"/>
      <c r="F3" s="37">
        <f t="array" ref="F3:L3">ДніТаТижні+DATE(КалендарРік,7,1)-WEEKDAY(DATE(КалендарРік,7,1),(ПочатокТижня="ПН")+1)+1</f>
        <v>45838</v>
      </c>
      <c r="G3" s="29">
        <v>45839</v>
      </c>
      <c r="H3" s="29">
        <v>45840</v>
      </c>
      <c r="I3" s="37">
        <v>45841</v>
      </c>
      <c r="J3" s="29">
        <v>45842</v>
      </c>
      <c r="K3" s="14">
        <v>45843</v>
      </c>
      <c r="L3" s="16">
        <v>45844</v>
      </c>
    </row>
    <row r="4" spans="1:12" s="5" customFormat="1" ht="19.5" customHeight="1" x14ac:dyDescent="0.25">
      <c r="A4" s="4"/>
      <c r="B4" s="12"/>
      <c r="C4" s="47"/>
      <c r="D4" s="12"/>
      <c r="E4" s="4"/>
      <c r="F4" s="75"/>
      <c r="G4" s="62" t="s">
        <v>6</v>
      </c>
      <c r="H4" s="62" t="s">
        <v>6</v>
      </c>
      <c r="I4" s="64" t="s">
        <v>7</v>
      </c>
      <c r="J4" s="66" t="s">
        <v>8</v>
      </c>
      <c r="K4" s="48"/>
      <c r="L4" s="50"/>
    </row>
    <row r="5" spans="1:12" ht="55.5" customHeight="1" x14ac:dyDescent="0.25">
      <c r="B5" s="59" t="str">
        <f>UPPER(TEXT(F6,"mmmm"))</f>
        <v>ЛИПЕНЬ</v>
      </c>
      <c r="C5" s="59"/>
      <c r="D5" s="59"/>
      <c r="F5" s="76"/>
      <c r="G5" s="63"/>
      <c r="H5" s="63"/>
      <c r="I5" s="65"/>
      <c r="J5" s="67"/>
      <c r="K5" s="49"/>
      <c r="L5" s="51"/>
    </row>
    <row r="6" spans="1:12" s="5" customFormat="1" ht="19.5" customHeight="1" x14ac:dyDescent="0.3">
      <c r="A6" s="4"/>
      <c r="B6" s="39"/>
      <c r="C6" s="39"/>
      <c r="D6" s="39"/>
      <c r="E6" s="4"/>
      <c r="F6" s="37">
        <f t="array" ref="F6:L6">ДніТаТижні+DATE(КалендарРік,7,1)-WEEKDAY(DATE(КалендарРік,7,1),(ПочатокТижня="ПН")+1)+8</f>
        <v>45845</v>
      </c>
      <c r="G6" s="29">
        <v>45846</v>
      </c>
      <c r="H6" s="29">
        <v>45847</v>
      </c>
      <c r="I6" s="37">
        <v>45848</v>
      </c>
      <c r="J6" s="29">
        <v>45849</v>
      </c>
      <c r="K6" s="14">
        <v>45850</v>
      </c>
      <c r="L6" s="16">
        <v>45851</v>
      </c>
    </row>
    <row r="7" spans="1:12" ht="75" customHeight="1" x14ac:dyDescent="0.25">
      <c r="B7" s="39"/>
      <c r="C7" s="39"/>
      <c r="D7" s="39"/>
      <c r="F7" s="21" t="s">
        <v>5</v>
      </c>
      <c r="G7" s="25" t="s">
        <v>6</v>
      </c>
      <c r="H7" s="25" t="s">
        <v>6</v>
      </c>
      <c r="I7" s="23" t="s">
        <v>7</v>
      </c>
      <c r="J7" s="24" t="s">
        <v>8</v>
      </c>
      <c r="L7" s="19"/>
    </row>
    <row r="8" spans="1:12" s="5" customFormat="1" ht="19.5" customHeight="1" x14ac:dyDescent="0.3">
      <c r="A8" s="4"/>
      <c r="B8" s="39"/>
      <c r="C8" s="39"/>
      <c r="D8" s="39"/>
      <c r="E8" s="4"/>
      <c r="F8" s="37">
        <f t="array" ref="F8:L8">ДніТаТижні+DATE(КалендарРік,7,1)-WEEKDAY(DATE(КалендарРік,7,1),(ПочатокТижня="ПН")+1)+15</f>
        <v>45852</v>
      </c>
      <c r="G8" s="29">
        <v>45853</v>
      </c>
      <c r="H8" s="29">
        <v>45854</v>
      </c>
      <c r="I8" s="37">
        <v>45855</v>
      </c>
      <c r="J8" s="29">
        <v>45856</v>
      </c>
      <c r="K8" s="14">
        <v>45857</v>
      </c>
      <c r="L8" s="16">
        <v>45858</v>
      </c>
    </row>
    <row r="9" spans="1:12" ht="75" customHeight="1" x14ac:dyDescent="0.25">
      <c r="B9" s="39"/>
      <c r="C9" s="39"/>
      <c r="D9" s="39"/>
      <c r="F9" s="21" t="s">
        <v>5</v>
      </c>
      <c r="G9" s="25" t="s">
        <v>6</v>
      </c>
      <c r="H9" s="25" t="s">
        <v>6</v>
      </c>
      <c r="I9" s="23" t="s">
        <v>7</v>
      </c>
      <c r="J9" s="24" t="s">
        <v>8</v>
      </c>
      <c r="L9" s="19"/>
    </row>
    <row r="10" spans="1:12" s="5" customFormat="1" ht="19.5" customHeight="1" x14ac:dyDescent="0.3">
      <c r="A10" s="4"/>
      <c r="B10" s="39"/>
      <c r="C10" s="39"/>
      <c r="D10" s="39"/>
      <c r="E10" s="4"/>
      <c r="F10" s="37">
        <f t="array" ref="F10:L10">ДніТаТижні+DATE(КалендарРік,7,1)-WEEKDAY(DATE(КалендарРік,7,1),(ПочатокТижня="ПН")+1)+22</f>
        <v>45859</v>
      </c>
      <c r="G10" s="29">
        <v>45860</v>
      </c>
      <c r="H10" s="29">
        <v>45861</v>
      </c>
      <c r="I10" s="37">
        <v>45862</v>
      </c>
      <c r="J10" s="29">
        <v>45863</v>
      </c>
      <c r="K10" s="14">
        <v>45864</v>
      </c>
      <c r="L10" s="16">
        <v>45865</v>
      </c>
    </row>
    <row r="11" spans="1:12" ht="75" customHeight="1" x14ac:dyDescent="0.25">
      <c r="B11" s="39"/>
      <c r="C11" s="39"/>
      <c r="D11" s="39"/>
      <c r="F11" s="21" t="s">
        <v>5</v>
      </c>
      <c r="G11" s="25" t="s">
        <v>6</v>
      </c>
      <c r="H11" s="25" t="s">
        <v>6</v>
      </c>
      <c r="I11" s="23" t="s">
        <v>7</v>
      </c>
      <c r="J11" s="24" t="s">
        <v>8</v>
      </c>
      <c r="L11" s="19"/>
    </row>
    <row r="12" spans="1:12" s="5" customFormat="1" ht="19.5" customHeight="1" x14ac:dyDescent="0.3">
      <c r="A12" s="4"/>
      <c r="B12" s="39"/>
      <c r="C12" s="39"/>
      <c r="D12" s="39"/>
      <c r="E12" s="4"/>
      <c r="F12" s="37">
        <f t="array" ref="F12:L12">ДніТаТижні+DATE(КалендарРік,7,1)-WEEKDAY(DATE(КалендарРік,7,1),(ПочатокТижня="ПН")+1)+29</f>
        <v>45866</v>
      </c>
      <c r="G12" s="29">
        <v>45867</v>
      </c>
      <c r="H12" s="29">
        <v>45868</v>
      </c>
      <c r="I12" s="37">
        <v>45869</v>
      </c>
      <c r="J12" s="29">
        <v>45870</v>
      </c>
      <c r="K12" s="14">
        <v>45871</v>
      </c>
      <c r="L12" s="14">
        <v>45872</v>
      </c>
    </row>
    <row r="13" spans="1:12" ht="75" customHeight="1" x14ac:dyDescent="0.25">
      <c r="B13" s="39"/>
      <c r="C13" s="39"/>
      <c r="D13" s="39"/>
      <c r="F13" s="21" t="s">
        <v>5</v>
      </c>
      <c r="G13" s="25" t="s">
        <v>6</v>
      </c>
      <c r="H13" s="25" t="s">
        <v>6</v>
      </c>
      <c r="I13" s="23" t="s">
        <v>7</v>
      </c>
      <c r="J13" s="77"/>
      <c r="L13" s="19"/>
    </row>
    <row r="14" spans="1:12" s="5" customFormat="1" ht="19.5" customHeight="1" x14ac:dyDescent="0.25">
      <c r="A14" s="4"/>
      <c r="B14" s="39"/>
      <c r="C14" s="39"/>
      <c r="D14" s="39"/>
      <c r="E14" s="4"/>
      <c r="F14" s="37">
        <f t="array" ref="F14:G14">ДніТаТижні+DATE(КалендарРік,7,1)-WEEKDAY(DATE(КалендарРік,7,1),(ПочатокТижня="ПН")+1)+36</f>
        <v>45873</v>
      </c>
      <c r="G14" s="29">
        <v>45874</v>
      </c>
      <c r="H14" s="60" t="s">
        <v>4</v>
      </c>
      <c r="I14" s="42"/>
      <c r="J14" s="42"/>
      <c r="K14" s="42"/>
      <c r="L14" s="43"/>
    </row>
    <row r="15" spans="1:12" ht="75" customHeight="1" x14ac:dyDescent="0.25">
      <c r="B15" s="10"/>
      <c r="C15" s="10"/>
      <c r="D15" s="10"/>
      <c r="F15" s="38"/>
      <c r="G15" s="77"/>
      <c r="H15" s="61"/>
      <c r="I15" s="44"/>
      <c r="J15" s="44"/>
      <c r="K15" s="44"/>
      <c r="L15" s="45"/>
    </row>
  </sheetData>
  <mergeCells count="12">
    <mergeCell ref="B6:D14"/>
    <mergeCell ref="H14:H15"/>
    <mergeCell ref="I14:L15"/>
    <mergeCell ref="C1:C4"/>
    <mergeCell ref="L4:L5"/>
    <mergeCell ref="F4:F5"/>
    <mergeCell ref="G4:G5"/>
    <mergeCell ref="H4:H5"/>
    <mergeCell ref="I4:I5"/>
    <mergeCell ref="J4:J5"/>
    <mergeCell ref="K4:K5"/>
    <mergeCell ref="B5:D5"/>
  </mergeCells>
  <conditionalFormatting sqref="F3:F15">
    <cfRule type="expression" dxfId="32" priority="3">
      <formula>F$2="НД"</formula>
    </cfRule>
  </conditionalFormatting>
  <conditionalFormatting sqref="F3:K4">
    <cfRule type="expression" dxfId="31" priority="4">
      <formula>DAY(F3)&gt;8</formula>
    </cfRule>
  </conditionalFormatting>
  <conditionalFormatting sqref="F12:L12 F14:G14">
    <cfRule type="expression" dxfId="30" priority="5">
      <formula>AND(DAY(F12)&gt;=1,DAY(F12)&lt;=15)</formula>
    </cfRule>
  </conditionalFormatting>
  <conditionalFormatting sqref="K3:L4 K6:L13">
    <cfRule type="expression" dxfId="29" priority="2">
      <formula>K$2="СБ"</formula>
    </cfRule>
  </conditionalFormatting>
  <conditionalFormatting sqref="L3:L4 L6:L13">
    <cfRule type="expression" dxfId="28" priority="1">
      <formula>$L$2="НД"</formula>
    </cfRule>
  </conditionalFormatting>
  <printOptions horizontalCentered="1" verticalCentered="1"/>
  <pageMargins left="0.25" right="0.25" top="0.5" bottom="0.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A1:L15"/>
  <sheetViews>
    <sheetView showGridLines="0" topLeftCell="A10" zoomScaleNormal="100" workbookViewId="0">
      <selection activeCell="I4" sqref="I4:I5"/>
    </sheetView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6" width="18.42578125" customWidth="1"/>
    <col min="7" max="8" width="18.42578125" style="27" customWidth="1"/>
    <col min="9" max="9" width="18.42578125" style="31" customWidth="1"/>
    <col min="10" max="10" width="18.42578125" style="27" customWidth="1"/>
    <col min="11" max="12" width="18.42578125" customWidth="1"/>
    <col min="13" max="13" width="2.7109375" customWidth="1"/>
    <col min="14" max="14" width="10" customWidth="1"/>
  </cols>
  <sheetData>
    <row r="1" spans="1:12" ht="15" customHeight="1" x14ac:dyDescent="0.25">
      <c r="B1" s="10"/>
      <c r="C1" s="47">
        <f>КалендарРік</f>
        <v>2025</v>
      </c>
      <c r="D1" s="10"/>
    </row>
    <row r="2" spans="1:12" s="3" customFormat="1" ht="35.25" customHeight="1" x14ac:dyDescent="0.3">
      <c r="A2" s="2"/>
      <c r="B2" s="11"/>
      <c r="C2" s="47"/>
      <c r="D2" s="11"/>
      <c r="E2" s="2"/>
      <c r="F2" s="13" t="str">
        <f>UPPER(TEXT(ПочатокТижня,"ddd"))</f>
        <v>ПН</v>
      </c>
      <c r="G2" s="28" t="str">
        <f t="shared" ref="G2:L2" si="0">UPPER(TEXT(G3,"ddd"))</f>
        <v>ВТ</v>
      </c>
      <c r="H2" s="28" t="str">
        <f t="shared" si="0"/>
        <v>СР</v>
      </c>
      <c r="I2" s="32" t="str">
        <f t="shared" si="0"/>
        <v>ЧТ</v>
      </c>
      <c r="J2" s="28" t="str">
        <f t="shared" si="0"/>
        <v>ПТ</v>
      </c>
      <c r="K2" s="13" t="str">
        <f t="shared" si="0"/>
        <v>СБ</v>
      </c>
      <c r="L2" s="13" t="str">
        <f t="shared" si="0"/>
        <v>НД</v>
      </c>
    </row>
    <row r="3" spans="1:12" s="5" customFormat="1" ht="19.5" customHeight="1" x14ac:dyDescent="0.3">
      <c r="A3" s="4"/>
      <c r="B3" s="12"/>
      <c r="C3" s="47"/>
      <c r="D3" s="12"/>
      <c r="E3" s="4"/>
      <c r="F3" s="14">
        <f t="array" ref="F3:L3">ДніТаТижні+DATE(КалендарРік,8,1)-WEEKDAY(DATE(КалендарРік,8,1),(ПочатокТижня="ПН")+1)+1</f>
        <v>45866</v>
      </c>
      <c r="G3" s="29">
        <v>45867</v>
      </c>
      <c r="H3" s="29">
        <v>45868</v>
      </c>
      <c r="I3" s="33">
        <v>45869</v>
      </c>
      <c r="J3" s="29">
        <v>45870</v>
      </c>
      <c r="K3" s="14">
        <v>45871</v>
      </c>
      <c r="L3" s="16">
        <v>45872</v>
      </c>
    </row>
    <row r="4" spans="1:12" s="5" customFormat="1" ht="19.5" customHeight="1" x14ac:dyDescent="0.25">
      <c r="A4" s="4"/>
      <c r="B4" s="12"/>
      <c r="C4" s="47"/>
      <c r="D4" s="12"/>
      <c r="E4" s="4"/>
      <c r="F4" s="75"/>
      <c r="G4" s="78"/>
      <c r="H4" s="78"/>
      <c r="I4" s="80"/>
      <c r="J4" s="66" t="s">
        <v>8</v>
      </c>
      <c r="K4" s="48"/>
      <c r="L4" s="50"/>
    </row>
    <row r="5" spans="1:12" ht="55.5" customHeight="1" x14ac:dyDescent="0.25">
      <c r="B5" s="59" t="str">
        <f>UPPER(TEXT(F6,"mmmm"))</f>
        <v>СЕРПЕНЬ</v>
      </c>
      <c r="C5" s="59"/>
      <c r="D5" s="59"/>
      <c r="F5" s="76"/>
      <c r="G5" s="79"/>
      <c r="H5" s="79"/>
      <c r="I5" s="81"/>
      <c r="J5" s="67"/>
      <c r="K5" s="49"/>
      <c r="L5" s="51"/>
    </row>
    <row r="6" spans="1:12" s="5" customFormat="1" ht="19.5" customHeight="1" x14ac:dyDescent="0.3">
      <c r="A6" s="4"/>
      <c r="B6" s="39"/>
      <c r="C6" s="39"/>
      <c r="D6" s="39"/>
      <c r="E6" s="4"/>
      <c r="F6" s="14">
        <f t="array" ref="F6:L6">ДніТаТижні+DATE(КалендарРік,8,1)-WEEKDAY(DATE(КалендарРік,8,1),(ПочатокТижня="ПН")+1)+8</f>
        <v>45873</v>
      </c>
      <c r="G6" s="29">
        <v>45874</v>
      </c>
      <c r="H6" s="29">
        <v>45875</v>
      </c>
      <c r="I6" s="33">
        <v>45876</v>
      </c>
      <c r="J6" s="29">
        <v>45877</v>
      </c>
      <c r="K6" s="14">
        <v>45878</v>
      </c>
      <c r="L6" s="16">
        <v>45879</v>
      </c>
    </row>
    <row r="7" spans="1:12" ht="75" customHeight="1" x14ac:dyDescent="0.25">
      <c r="B7" s="39"/>
      <c r="C7" s="39"/>
      <c r="D7" s="39"/>
      <c r="F7" s="21" t="s">
        <v>5</v>
      </c>
      <c r="G7" s="25" t="s">
        <v>6</v>
      </c>
      <c r="H7" s="25" t="s">
        <v>6</v>
      </c>
      <c r="I7" s="34" t="s">
        <v>7</v>
      </c>
      <c r="J7" s="24" t="s">
        <v>8</v>
      </c>
      <c r="L7" s="19"/>
    </row>
    <row r="8" spans="1:12" s="5" customFormat="1" ht="19.5" customHeight="1" x14ac:dyDescent="0.3">
      <c r="A8" s="4"/>
      <c r="B8" s="39"/>
      <c r="C8" s="39"/>
      <c r="D8" s="39"/>
      <c r="E8" s="4"/>
      <c r="F8" s="14">
        <f t="array" ref="F8:L8">ДніТаТижні+DATE(КалендарРік,8,1)-WEEKDAY(DATE(КалендарРік,8,1),(ПочатокТижня="ПН")+1)+15</f>
        <v>45880</v>
      </c>
      <c r="G8" s="29">
        <v>45881</v>
      </c>
      <c r="H8" s="29">
        <v>45882</v>
      </c>
      <c r="I8" s="33">
        <v>45883</v>
      </c>
      <c r="J8" s="29">
        <v>45884</v>
      </c>
      <c r="K8" s="14">
        <v>45885</v>
      </c>
      <c r="L8" s="16">
        <v>45886</v>
      </c>
    </row>
    <row r="9" spans="1:12" ht="75" customHeight="1" x14ac:dyDescent="0.25">
      <c r="B9" s="39"/>
      <c r="C9" s="39"/>
      <c r="D9" s="39"/>
      <c r="F9" s="21" t="s">
        <v>5</v>
      </c>
      <c r="G9" s="25" t="s">
        <v>6</v>
      </c>
      <c r="H9" s="25" t="s">
        <v>6</v>
      </c>
      <c r="I9" s="34" t="s">
        <v>7</v>
      </c>
      <c r="J9" s="24" t="s">
        <v>8</v>
      </c>
      <c r="L9" s="19"/>
    </row>
    <row r="10" spans="1:12" s="5" customFormat="1" ht="19.5" customHeight="1" x14ac:dyDescent="0.3">
      <c r="A10" s="4"/>
      <c r="B10" s="39"/>
      <c r="C10" s="39"/>
      <c r="D10" s="39"/>
      <c r="E10" s="4"/>
      <c r="F10" s="14">
        <f t="array" ref="F10:L10">ДніТаТижні+DATE(КалендарРік,8,1)-WEEKDAY(DATE(КалендарРік,8,1),(ПочатокТижня="ПН")+1)+22</f>
        <v>45887</v>
      </c>
      <c r="G10" s="29">
        <v>45888</v>
      </c>
      <c r="H10" s="29">
        <v>45889</v>
      </c>
      <c r="I10" s="33">
        <v>45890</v>
      </c>
      <c r="J10" s="29">
        <v>45891</v>
      </c>
      <c r="K10" s="14">
        <v>45892</v>
      </c>
      <c r="L10" s="16">
        <v>45893</v>
      </c>
    </row>
    <row r="11" spans="1:12" ht="75" customHeight="1" x14ac:dyDescent="0.25">
      <c r="B11" s="39"/>
      <c r="C11" s="39"/>
      <c r="D11" s="39"/>
      <c r="F11" s="21" t="s">
        <v>5</v>
      </c>
      <c r="G11" s="25" t="s">
        <v>6</v>
      </c>
      <c r="H11" s="25" t="s">
        <v>6</v>
      </c>
      <c r="I11" s="34" t="s">
        <v>7</v>
      </c>
      <c r="J11" s="24" t="s">
        <v>8</v>
      </c>
      <c r="L11" s="19"/>
    </row>
    <row r="12" spans="1:12" s="5" customFormat="1" ht="19.5" customHeight="1" x14ac:dyDescent="0.3">
      <c r="A12" s="4"/>
      <c r="B12" s="39"/>
      <c r="C12" s="39"/>
      <c r="D12" s="39"/>
      <c r="E12" s="4"/>
      <c r="F12" s="14">
        <f t="array" ref="F12:L12">ДніТаТижні+DATE(КалендарРік,8,1)-WEEKDAY(DATE(КалендарРік,8,1),(ПочатокТижня="ПН")+1)+29</f>
        <v>45894</v>
      </c>
      <c r="G12" s="29">
        <v>45895</v>
      </c>
      <c r="H12" s="29">
        <v>45896</v>
      </c>
      <c r="I12" s="33">
        <v>45897</v>
      </c>
      <c r="J12" s="29">
        <v>45898</v>
      </c>
      <c r="K12" s="14">
        <v>45899</v>
      </c>
      <c r="L12" s="14">
        <v>45900</v>
      </c>
    </row>
    <row r="13" spans="1:12" ht="75" customHeight="1" x14ac:dyDescent="0.25">
      <c r="B13" s="39"/>
      <c r="C13" s="39"/>
      <c r="D13" s="39"/>
      <c r="F13" s="21" t="s">
        <v>5</v>
      </c>
      <c r="G13" s="25" t="s">
        <v>6</v>
      </c>
      <c r="H13" s="25" t="s">
        <v>6</v>
      </c>
      <c r="I13" s="34" t="s">
        <v>7</v>
      </c>
      <c r="J13" s="24" t="s">
        <v>8</v>
      </c>
      <c r="L13" s="19"/>
    </row>
    <row r="14" spans="1:12" s="5" customFormat="1" ht="19.5" customHeight="1" x14ac:dyDescent="0.3">
      <c r="A14" s="4"/>
      <c r="B14" s="39"/>
      <c r="C14" s="39"/>
      <c r="D14" s="39"/>
      <c r="E14" s="4"/>
      <c r="F14" s="14">
        <f t="array" ref="F14:G14">ДніТаТижні+DATE(КалендарРік,8,1)-WEEKDAY(DATE(КалендарРік,8,1),(ПочатокТижня="ПН")+1)+36</f>
        <v>45901</v>
      </c>
      <c r="G14" s="29">
        <v>45902</v>
      </c>
      <c r="H14" s="60" t="s">
        <v>4</v>
      </c>
      <c r="I14" s="42"/>
      <c r="J14" s="42"/>
      <c r="K14" s="42"/>
      <c r="L14" s="43"/>
    </row>
    <row r="15" spans="1:12" ht="75" customHeight="1" x14ac:dyDescent="0.25">
      <c r="B15" s="10"/>
      <c r="C15" s="10"/>
      <c r="D15" s="10"/>
      <c r="F15" s="9"/>
      <c r="G15" s="30"/>
      <c r="H15" s="61"/>
      <c r="I15" s="44"/>
      <c r="J15" s="44"/>
      <c r="K15" s="44"/>
      <c r="L15" s="45"/>
    </row>
  </sheetData>
  <mergeCells count="12">
    <mergeCell ref="B6:D14"/>
    <mergeCell ref="H14:H15"/>
    <mergeCell ref="I14:L15"/>
    <mergeCell ref="C1:C4"/>
    <mergeCell ref="L4:L5"/>
    <mergeCell ref="F4:F5"/>
    <mergeCell ref="G4:G5"/>
    <mergeCell ref="H4:H5"/>
    <mergeCell ref="I4:I5"/>
    <mergeCell ref="J4:J5"/>
    <mergeCell ref="K4:K5"/>
    <mergeCell ref="B5:D5"/>
  </mergeCells>
  <conditionalFormatting sqref="F3:F15">
    <cfRule type="expression" dxfId="27" priority="3">
      <formula>F$2="НД"</formula>
    </cfRule>
  </conditionalFormatting>
  <conditionalFormatting sqref="F3:K4">
    <cfRule type="expression" dxfId="26" priority="4">
      <formula>DAY(F3)&gt;8</formula>
    </cfRule>
  </conditionalFormatting>
  <conditionalFormatting sqref="F12:L12 F14:G14">
    <cfRule type="expression" dxfId="25" priority="5">
      <formula>AND(DAY(F12)&gt;=1,DAY(F12)&lt;=15)</formula>
    </cfRule>
  </conditionalFormatting>
  <conditionalFormatting sqref="K3:L4 K6:L13">
    <cfRule type="expression" dxfId="24" priority="2">
      <formula>K$2="СБ"</formula>
    </cfRule>
  </conditionalFormatting>
  <conditionalFormatting sqref="L3:L4 L6:L13">
    <cfRule type="expression" dxfId="23" priority="1">
      <formula>$L$2="НД"</formula>
    </cfRule>
  </conditionalFormatting>
  <printOptions horizontalCentered="1" verticalCentered="1"/>
  <pageMargins left="0.25" right="0.25" top="0.5" bottom="0.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L15"/>
  <sheetViews>
    <sheetView showGridLines="0" topLeftCell="A4" zoomScaleNormal="100" workbookViewId="0">
      <selection activeCell="G15" sqref="G15"/>
    </sheetView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12" width="18.42578125" customWidth="1"/>
    <col min="13" max="13" width="2.7109375" customWidth="1"/>
    <col min="14" max="14" width="10" customWidth="1"/>
  </cols>
  <sheetData>
    <row r="1" spans="1:12" ht="15" customHeight="1" x14ac:dyDescent="0.25">
      <c r="B1" s="10"/>
      <c r="C1" s="47">
        <f>КалендарРік</f>
        <v>2025</v>
      </c>
      <c r="D1" s="10"/>
    </row>
    <row r="2" spans="1:12" s="3" customFormat="1" ht="35.25" customHeight="1" x14ac:dyDescent="0.3">
      <c r="A2" s="2"/>
      <c r="B2" s="11"/>
      <c r="C2" s="47"/>
      <c r="D2" s="11"/>
      <c r="E2" s="2"/>
      <c r="F2" s="13" t="str">
        <f>UPPER(TEXT(ПочатокТижня,"ddd"))</f>
        <v>ПН</v>
      </c>
      <c r="G2" s="13" t="str">
        <f t="shared" ref="G2:L2" si="0">UPPER(TEXT(G3,"ddd"))</f>
        <v>ВТ</v>
      </c>
      <c r="H2" s="13" t="str">
        <f t="shared" si="0"/>
        <v>СР</v>
      </c>
      <c r="I2" s="13" t="str">
        <f t="shared" si="0"/>
        <v>ЧТ</v>
      </c>
      <c r="J2" s="13" t="str">
        <f t="shared" si="0"/>
        <v>ПТ</v>
      </c>
      <c r="K2" s="13" t="str">
        <f t="shared" si="0"/>
        <v>СБ</v>
      </c>
      <c r="L2" s="13" t="str">
        <f t="shared" si="0"/>
        <v>НД</v>
      </c>
    </row>
    <row r="3" spans="1:12" s="5" customFormat="1" ht="19.5" customHeight="1" x14ac:dyDescent="0.3">
      <c r="A3" s="4"/>
      <c r="B3" s="12"/>
      <c r="C3" s="47"/>
      <c r="D3" s="12"/>
      <c r="E3" s="4"/>
      <c r="F3" s="14">
        <f t="array" ref="F3:L3">ДніТаТижні+DATE(КалендарРік,9,1)-WEEKDAY(DATE(КалендарРік,9,1),(ПочатокТижня="ПН")+1)+1</f>
        <v>45901</v>
      </c>
      <c r="G3" s="14">
        <v>45902</v>
      </c>
      <c r="H3" s="14">
        <v>45903</v>
      </c>
      <c r="I3" s="14">
        <v>45904</v>
      </c>
      <c r="J3" s="14">
        <v>45905</v>
      </c>
      <c r="K3" s="14">
        <v>45906</v>
      </c>
      <c r="L3" s="16">
        <v>45907</v>
      </c>
    </row>
    <row r="4" spans="1:12" s="5" customFormat="1" ht="19.5" customHeight="1" x14ac:dyDescent="0.25">
      <c r="A4" s="4"/>
      <c r="B4" s="12"/>
      <c r="C4" s="47"/>
      <c r="D4" s="12"/>
      <c r="E4" s="4"/>
      <c r="F4" s="52" t="s">
        <v>5</v>
      </c>
      <c r="G4" s="53" t="s">
        <v>6</v>
      </c>
      <c r="H4" s="53" t="s">
        <v>6</v>
      </c>
      <c r="I4" s="55" t="s">
        <v>7</v>
      </c>
      <c r="J4" s="57" t="s">
        <v>8</v>
      </c>
      <c r="K4" s="48"/>
      <c r="L4" s="50"/>
    </row>
    <row r="5" spans="1:12" ht="55.5" customHeight="1" x14ac:dyDescent="0.25">
      <c r="B5" s="59" t="str">
        <f>UPPER(TEXT(F6,"mmmm"))</f>
        <v>ВЕРЕСЕНЬ</v>
      </c>
      <c r="C5" s="59"/>
      <c r="D5" s="59"/>
      <c r="F5" s="82"/>
      <c r="G5" s="54"/>
      <c r="H5" s="54"/>
      <c r="I5" s="56"/>
      <c r="J5" s="58"/>
      <c r="K5" s="49"/>
      <c r="L5" s="51"/>
    </row>
    <row r="6" spans="1:12" s="5" customFormat="1" ht="19.5" customHeight="1" x14ac:dyDescent="0.3">
      <c r="A6" s="4"/>
      <c r="B6" s="39"/>
      <c r="C6" s="39"/>
      <c r="D6" s="39"/>
      <c r="E6" s="4"/>
      <c r="F6" s="14">
        <f t="array" ref="F6:L6">ДніТаТижні+DATE(КалендарРік,9,1)-WEEKDAY(DATE(КалендарРік,9,1),(ПочатокТижня="ПН")+1)+8</f>
        <v>45908</v>
      </c>
      <c r="G6" s="14">
        <v>45909</v>
      </c>
      <c r="H6" s="14">
        <v>45910</v>
      </c>
      <c r="I6" s="14">
        <v>45911</v>
      </c>
      <c r="J6" s="14">
        <v>45912</v>
      </c>
      <c r="K6" s="14">
        <v>45913</v>
      </c>
      <c r="L6" s="16">
        <v>45914</v>
      </c>
    </row>
    <row r="7" spans="1:12" ht="75" customHeight="1" x14ac:dyDescent="0.25">
      <c r="B7" s="39"/>
      <c r="C7" s="39"/>
      <c r="D7" s="39"/>
      <c r="F7" s="21" t="s">
        <v>5</v>
      </c>
      <c r="G7" s="25" t="s">
        <v>6</v>
      </c>
      <c r="H7" s="25" t="s">
        <v>6</v>
      </c>
      <c r="I7" s="23" t="s">
        <v>7</v>
      </c>
      <c r="J7" s="24" t="s">
        <v>8</v>
      </c>
      <c r="L7" s="19"/>
    </row>
    <row r="8" spans="1:12" s="5" customFormat="1" ht="19.5" customHeight="1" x14ac:dyDescent="0.3">
      <c r="A8" s="4"/>
      <c r="B8" s="39"/>
      <c r="C8" s="39"/>
      <c r="D8" s="39"/>
      <c r="E8" s="4"/>
      <c r="F8" s="14">
        <f t="array" ref="F8:L8">ДніТаТижні+DATE(КалендарРік,9,1)-WEEKDAY(DATE(КалендарРік,9,1),(ПочатокТижня="ПН")+1)+15</f>
        <v>45915</v>
      </c>
      <c r="G8" s="14">
        <v>45916</v>
      </c>
      <c r="H8" s="14">
        <v>45917</v>
      </c>
      <c r="I8" s="14">
        <v>45918</v>
      </c>
      <c r="J8" s="14">
        <v>45919</v>
      </c>
      <c r="K8" s="14">
        <v>45920</v>
      </c>
      <c r="L8" s="16">
        <v>45921</v>
      </c>
    </row>
    <row r="9" spans="1:12" ht="75" customHeight="1" x14ac:dyDescent="0.25">
      <c r="B9" s="39"/>
      <c r="C9" s="39"/>
      <c r="D9" s="39"/>
      <c r="F9" s="21" t="s">
        <v>5</v>
      </c>
      <c r="G9" s="25" t="s">
        <v>6</v>
      </c>
      <c r="H9" s="25" t="s">
        <v>6</v>
      </c>
      <c r="I9" s="23" t="s">
        <v>7</v>
      </c>
      <c r="J9" s="24" t="s">
        <v>8</v>
      </c>
      <c r="L9" s="19"/>
    </row>
    <row r="10" spans="1:12" s="5" customFormat="1" ht="19.5" customHeight="1" x14ac:dyDescent="0.3">
      <c r="A10" s="4"/>
      <c r="B10" s="39"/>
      <c r="C10" s="39"/>
      <c r="D10" s="39"/>
      <c r="E10" s="4"/>
      <c r="F10" s="14">
        <f t="array" ref="F10:L10">ДніТаТижні+DATE(КалендарРік,9,1)-WEEKDAY(DATE(КалендарРік,9,1),(ПочатокТижня="ПН")+1)+22</f>
        <v>45922</v>
      </c>
      <c r="G10" s="14">
        <v>45923</v>
      </c>
      <c r="H10" s="14">
        <v>45924</v>
      </c>
      <c r="I10" s="14">
        <v>45925</v>
      </c>
      <c r="J10" s="14">
        <v>45926</v>
      </c>
      <c r="K10" s="14">
        <v>45927</v>
      </c>
      <c r="L10" s="16">
        <v>45928</v>
      </c>
    </row>
    <row r="11" spans="1:12" ht="75" customHeight="1" x14ac:dyDescent="0.25">
      <c r="B11" s="39"/>
      <c r="C11" s="39"/>
      <c r="D11" s="39"/>
      <c r="F11" s="21" t="s">
        <v>5</v>
      </c>
      <c r="G11" s="25" t="s">
        <v>6</v>
      </c>
      <c r="H11" s="25" t="s">
        <v>6</v>
      </c>
      <c r="I11" s="23" t="s">
        <v>7</v>
      </c>
      <c r="J11" s="24" t="s">
        <v>8</v>
      </c>
      <c r="L11" s="19"/>
    </row>
    <row r="12" spans="1:12" s="5" customFormat="1" ht="19.5" customHeight="1" x14ac:dyDescent="0.3">
      <c r="A12" s="4"/>
      <c r="B12" s="39"/>
      <c r="C12" s="39"/>
      <c r="D12" s="39"/>
      <c r="E12" s="4"/>
      <c r="F12" s="14">
        <f t="array" ref="F12:L12">ДніТаТижні+DATE(КалендарРік,9,1)-WEEKDAY(DATE(КалендарРік,9,1),(ПочатокТижня="ПН")+1)+29</f>
        <v>45929</v>
      </c>
      <c r="G12" s="14">
        <v>45930</v>
      </c>
      <c r="H12" s="14">
        <v>45931</v>
      </c>
      <c r="I12" s="14">
        <v>45932</v>
      </c>
      <c r="J12" s="14">
        <v>45933</v>
      </c>
      <c r="K12" s="14">
        <v>45934</v>
      </c>
      <c r="L12" s="14">
        <v>45935</v>
      </c>
    </row>
    <row r="13" spans="1:12" ht="75" customHeight="1" x14ac:dyDescent="0.25">
      <c r="B13" s="39"/>
      <c r="C13" s="39"/>
      <c r="D13" s="39"/>
      <c r="F13" s="21" t="s">
        <v>5</v>
      </c>
      <c r="G13" s="25" t="s">
        <v>6</v>
      </c>
      <c r="H13" s="77"/>
      <c r="I13" s="38"/>
      <c r="J13" s="77"/>
      <c r="L13" s="19"/>
    </row>
    <row r="14" spans="1:12" s="5" customFormat="1" ht="19.5" customHeight="1" x14ac:dyDescent="0.3">
      <c r="A14" s="4"/>
      <c r="B14" s="39"/>
      <c r="C14" s="39"/>
      <c r="D14" s="39"/>
      <c r="E14" s="4"/>
      <c r="F14" s="14">
        <f t="array" ref="F14:G14">ДніТаТижні+DATE(КалендарРік,9,1)-WEEKDAY(DATE(КалендарРік,9,1),(ПочатокТижня="ПН")+1)+36</f>
        <v>45936</v>
      </c>
      <c r="G14" s="14">
        <v>45937</v>
      </c>
      <c r="H14" s="68" t="s">
        <v>4</v>
      </c>
      <c r="I14" s="42"/>
      <c r="J14" s="42"/>
      <c r="K14" s="42"/>
      <c r="L14" s="43"/>
    </row>
    <row r="15" spans="1:12" ht="75" customHeight="1" x14ac:dyDescent="0.25">
      <c r="B15" s="10"/>
      <c r="C15" s="10"/>
      <c r="D15" s="10"/>
      <c r="F15" s="83"/>
      <c r="G15" s="77"/>
      <c r="H15" s="69"/>
      <c r="I15" s="44"/>
      <c r="J15" s="44"/>
      <c r="K15" s="44"/>
      <c r="L15" s="45"/>
    </row>
  </sheetData>
  <mergeCells count="12">
    <mergeCell ref="B6:D14"/>
    <mergeCell ref="H14:H15"/>
    <mergeCell ref="I14:L15"/>
    <mergeCell ref="C1:C4"/>
    <mergeCell ref="L4:L5"/>
    <mergeCell ref="F4:F5"/>
    <mergeCell ref="G4:G5"/>
    <mergeCell ref="H4:H5"/>
    <mergeCell ref="I4:I5"/>
    <mergeCell ref="J4:J5"/>
    <mergeCell ref="K4:K5"/>
    <mergeCell ref="B5:D5"/>
  </mergeCells>
  <conditionalFormatting sqref="F3:F15">
    <cfRule type="expression" dxfId="22" priority="4">
      <formula>F$2="НД"</formula>
    </cfRule>
  </conditionalFormatting>
  <conditionalFormatting sqref="F3:K3 F4:G4 I4:K4">
    <cfRule type="expression" dxfId="21" priority="5">
      <formula>DAY(F3)&gt;8</formula>
    </cfRule>
  </conditionalFormatting>
  <conditionalFormatting sqref="F12:L12 F14:G14">
    <cfRule type="expression" dxfId="20" priority="6">
      <formula>AND(DAY(F12)&gt;=1,DAY(F12)&lt;=15)</formula>
    </cfRule>
  </conditionalFormatting>
  <conditionalFormatting sqref="K3:L4 K6:L13">
    <cfRule type="expression" dxfId="19" priority="3">
      <formula>K$2="СБ"</formula>
    </cfRule>
  </conditionalFormatting>
  <conditionalFormatting sqref="L3:L4 L6:L13">
    <cfRule type="expression" dxfId="18" priority="2">
      <formula>$L$2="НД"</formula>
    </cfRule>
  </conditionalFormatting>
  <conditionalFormatting sqref="H4">
    <cfRule type="expression" dxfId="1" priority="1">
      <formula>DAY(H4)&gt;8</formula>
    </cfRule>
  </conditionalFormatting>
  <printOptions horizontalCentered="1" verticalCentered="1"/>
  <pageMargins left="0.25" right="0.25" top="0.5" bottom="0.5" header="0.3" footer="0.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5" sqref="H5"/>
    </sheetView>
  </sheetViews>
  <sheetFormatPr defaultRowHeight="13.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15"/>
  <sheetViews>
    <sheetView showGridLines="0" topLeftCell="A10" zoomScaleNormal="100" workbookViewId="0">
      <selection activeCell="G15" sqref="G15"/>
    </sheetView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12" width="18.42578125" customWidth="1"/>
    <col min="13" max="13" width="2.7109375" customWidth="1"/>
    <col min="14" max="14" width="10" customWidth="1"/>
  </cols>
  <sheetData>
    <row r="1" spans="1:12" ht="15" customHeight="1" x14ac:dyDescent="0.25">
      <c r="B1" s="10"/>
      <c r="C1" s="47">
        <f>КалендарРік</f>
        <v>2025</v>
      </c>
      <c r="D1" s="10"/>
    </row>
    <row r="2" spans="1:12" s="3" customFormat="1" ht="35.25" customHeight="1" x14ac:dyDescent="0.3">
      <c r="A2" s="2"/>
      <c r="B2" s="11"/>
      <c r="C2" s="47"/>
      <c r="D2" s="11"/>
      <c r="E2" s="2"/>
      <c r="F2" s="13" t="str">
        <f>UPPER(TEXT(ПочатокТижня,"ddd"))</f>
        <v>ПН</v>
      </c>
      <c r="G2" s="13" t="str">
        <f t="shared" ref="G2:L2" si="0">UPPER(TEXT(G3,"ddd"))</f>
        <v>ВТ</v>
      </c>
      <c r="H2" s="13" t="str">
        <f t="shared" si="0"/>
        <v>СР</v>
      </c>
      <c r="I2" s="13" t="str">
        <f t="shared" si="0"/>
        <v>ЧТ</v>
      </c>
      <c r="J2" s="13" t="str">
        <f t="shared" si="0"/>
        <v>ПТ</v>
      </c>
      <c r="K2" s="13" t="str">
        <f t="shared" si="0"/>
        <v>СБ</v>
      </c>
      <c r="L2" s="13" t="str">
        <f t="shared" si="0"/>
        <v>НД</v>
      </c>
    </row>
    <row r="3" spans="1:12" s="5" customFormat="1" ht="19.5" customHeight="1" x14ac:dyDescent="0.3">
      <c r="A3" s="4"/>
      <c r="B3" s="12"/>
      <c r="C3" s="47"/>
      <c r="D3" s="12"/>
      <c r="E3" s="4"/>
      <c r="F3" s="14">
        <f t="array" ref="F3:L3">ДніТаТижні+DATE(КалендарРік,10,1)-WEEKDAY(DATE(КалендарРік,10,1),(ПочатокТижня="ПН")+1)+1</f>
        <v>45929</v>
      </c>
      <c r="G3" s="14">
        <v>45930</v>
      </c>
      <c r="H3" s="14">
        <v>45931</v>
      </c>
      <c r="I3" s="14">
        <v>45932</v>
      </c>
      <c r="J3" s="14">
        <v>45933</v>
      </c>
      <c r="K3" s="14">
        <v>45934</v>
      </c>
      <c r="L3" s="16">
        <v>45935</v>
      </c>
    </row>
    <row r="4" spans="1:12" s="5" customFormat="1" ht="19.5" customHeight="1" x14ac:dyDescent="0.25">
      <c r="A4" s="4"/>
      <c r="B4" s="12"/>
      <c r="C4" s="47"/>
      <c r="D4" s="12"/>
      <c r="E4" s="4"/>
      <c r="F4" s="75"/>
      <c r="G4" s="78"/>
      <c r="H4" s="62" t="s">
        <v>6</v>
      </c>
      <c r="I4" s="64" t="s">
        <v>7</v>
      </c>
      <c r="J4" s="66" t="s">
        <v>8</v>
      </c>
      <c r="K4" s="48"/>
      <c r="L4" s="50"/>
    </row>
    <row r="5" spans="1:12" ht="55.5" customHeight="1" x14ac:dyDescent="0.25">
      <c r="B5" s="59" t="str">
        <f>UPPER(TEXT(F6,"mmmm"))</f>
        <v>ЖОВТЕНЬ</v>
      </c>
      <c r="C5" s="59"/>
      <c r="D5" s="59"/>
      <c r="F5" s="76"/>
      <c r="G5" s="79"/>
      <c r="H5" s="63"/>
      <c r="I5" s="65"/>
      <c r="J5" s="67"/>
      <c r="K5" s="49"/>
      <c r="L5" s="51"/>
    </row>
    <row r="6" spans="1:12" s="5" customFormat="1" ht="19.5" customHeight="1" x14ac:dyDescent="0.3">
      <c r="A6" s="4"/>
      <c r="B6" s="39"/>
      <c r="C6" s="39"/>
      <c r="D6" s="39"/>
      <c r="E6" s="4"/>
      <c r="F6" s="14">
        <f t="array" ref="F6:L6">ДніТаТижні+DATE(КалендарРік,10,1)-WEEKDAY(DATE(КалендарРік,10,1),(ПочатокТижня="ПН")+1)+8</f>
        <v>45936</v>
      </c>
      <c r="G6" s="14">
        <v>45937</v>
      </c>
      <c r="H6" s="14">
        <v>45938</v>
      </c>
      <c r="I6" s="14">
        <v>45939</v>
      </c>
      <c r="J6" s="14">
        <v>45940</v>
      </c>
      <c r="K6" s="14">
        <v>45941</v>
      </c>
      <c r="L6" s="16">
        <v>45942</v>
      </c>
    </row>
    <row r="7" spans="1:12" ht="75" customHeight="1" x14ac:dyDescent="0.25">
      <c r="B7" s="39"/>
      <c r="C7" s="39"/>
      <c r="D7" s="39"/>
      <c r="F7" s="21" t="s">
        <v>5</v>
      </c>
      <c r="G7" s="25" t="s">
        <v>6</v>
      </c>
      <c r="H7" s="25" t="s">
        <v>6</v>
      </c>
      <c r="I7" s="23" t="s">
        <v>7</v>
      </c>
      <c r="J7" s="24" t="s">
        <v>8</v>
      </c>
      <c r="L7" s="19"/>
    </row>
    <row r="8" spans="1:12" s="5" customFormat="1" ht="19.5" customHeight="1" x14ac:dyDescent="0.3">
      <c r="A8" s="4"/>
      <c r="B8" s="39"/>
      <c r="C8" s="39"/>
      <c r="D8" s="39"/>
      <c r="E8" s="4"/>
      <c r="F8" s="14">
        <f t="array" ref="F8:L8">ДніТаТижні+DATE(КалендарРік,10,1)-WEEKDAY(DATE(КалендарРік,10,1),(ПочатокТижня="ПН")+1)+15</f>
        <v>45943</v>
      </c>
      <c r="G8" s="14">
        <v>45944</v>
      </c>
      <c r="H8" s="14">
        <v>45945</v>
      </c>
      <c r="I8" s="14">
        <v>45946</v>
      </c>
      <c r="J8" s="14">
        <v>45947</v>
      </c>
      <c r="K8" s="14">
        <v>45948</v>
      </c>
      <c r="L8" s="16">
        <v>45949</v>
      </c>
    </row>
    <row r="9" spans="1:12" ht="75" customHeight="1" x14ac:dyDescent="0.25">
      <c r="B9" s="39"/>
      <c r="C9" s="39"/>
      <c r="D9" s="39"/>
      <c r="F9" s="21" t="s">
        <v>5</v>
      </c>
      <c r="G9" s="25" t="s">
        <v>6</v>
      </c>
      <c r="H9" s="25" t="s">
        <v>6</v>
      </c>
      <c r="I9" s="23" t="s">
        <v>7</v>
      </c>
      <c r="J9" s="24" t="s">
        <v>8</v>
      </c>
      <c r="L9" s="19"/>
    </row>
    <row r="10" spans="1:12" s="5" customFormat="1" ht="19.5" customHeight="1" x14ac:dyDescent="0.3">
      <c r="A10" s="4"/>
      <c r="B10" s="39"/>
      <c r="C10" s="39"/>
      <c r="D10" s="39"/>
      <c r="E10" s="4"/>
      <c r="F10" s="14">
        <f t="array" ref="F10:L10">ДніТаТижні+DATE(КалендарРік,10,1)-WEEKDAY(DATE(КалендарРік,10,1),(ПочатокТижня="ПН")+1)+22</f>
        <v>45950</v>
      </c>
      <c r="G10" s="14">
        <v>45951</v>
      </c>
      <c r="H10" s="14">
        <v>45952</v>
      </c>
      <c r="I10" s="14">
        <v>45953</v>
      </c>
      <c r="J10" s="14">
        <v>45954</v>
      </c>
      <c r="K10" s="14">
        <v>45955</v>
      </c>
      <c r="L10" s="16">
        <v>45956</v>
      </c>
    </row>
    <row r="11" spans="1:12" ht="75" customHeight="1" x14ac:dyDescent="0.25">
      <c r="B11" s="39"/>
      <c r="C11" s="39"/>
      <c r="D11" s="39"/>
      <c r="F11" s="21" t="s">
        <v>5</v>
      </c>
      <c r="G11" s="25" t="s">
        <v>6</v>
      </c>
      <c r="H11" s="25" t="s">
        <v>6</v>
      </c>
      <c r="I11" s="23" t="s">
        <v>7</v>
      </c>
      <c r="J11" s="24" t="s">
        <v>8</v>
      </c>
      <c r="L11" s="19"/>
    </row>
    <row r="12" spans="1:12" s="5" customFormat="1" ht="19.5" customHeight="1" x14ac:dyDescent="0.3">
      <c r="A12" s="4"/>
      <c r="B12" s="39"/>
      <c r="C12" s="39"/>
      <c r="D12" s="39"/>
      <c r="E12" s="4"/>
      <c r="F12" s="14">
        <f t="array" ref="F12:L12">ДніТаТижні+DATE(КалендарРік,10,1)-WEEKDAY(DATE(КалендарРік,10,1),(ПочатокТижня="ПН")+1)+29</f>
        <v>45957</v>
      </c>
      <c r="G12" s="14">
        <v>45958</v>
      </c>
      <c r="H12" s="14">
        <v>45959</v>
      </c>
      <c r="I12" s="14">
        <v>45960</v>
      </c>
      <c r="J12" s="14">
        <v>45961</v>
      </c>
      <c r="K12" s="14">
        <v>45962</v>
      </c>
      <c r="L12" s="14">
        <v>45963</v>
      </c>
    </row>
    <row r="13" spans="1:12" ht="75" customHeight="1" x14ac:dyDescent="0.25">
      <c r="B13" s="39"/>
      <c r="C13" s="39"/>
      <c r="D13" s="39"/>
      <c r="F13" s="21" t="s">
        <v>5</v>
      </c>
      <c r="G13" s="25" t="s">
        <v>6</v>
      </c>
      <c r="H13" s="25" t="s">
        <v>6</v>
      </c>
      <c r="I13" s="23" t="s">
        <v>7</v>
      </c>
      <c r="J13" s="24" t="s">
        <v>8</v>
      </c>
      <c r="L13" s="19"/>
    </row>
    <row r="14" spans="1:12" s="5" customFormat="1" ht="19.5" customHeight="1" x14ac:dyDescent="0.3">
      <c r="A14" s="4"/>
      <c r="B14" s="39"/>
      <c r="C14" s="39"/>
      <c r="D14" s="39"/>
      <c r="E14" s="4"/>
      <c r="F14" s="14">
        <f t="array" ref="F14:G14">ДніТаТижні+DATE(КалендарРік,10,1)-WEEKDAY(DATE(КалендарРік,10,1),(ПочатокТижня="ПН")+1)+36</f>
        <v>45964</v>
      </c>
      <c r="G14" s="14">
        <v>45965</v>
      </c>
      <c r="H14" s="68" t="s">
        <v>4</v>
      </c>
      <c r="I14" s="42"/>
      <c r="J14" s="42"/>
      <c r="K14" s="42"/>
      <c r="L14" s="43"/>
    </row>
    <row r="15" spans="1:12" ht="75" customHeight="1" x14ac:dyDescent="0.25">
      <c r="B15" s="10"/>
      <c r="C15" s="10"/>
      <c r="D15" s="10"/>
      <c r="F15" s="38"/>
      <c r="G15" s="77"/>
      <c r="H15" s="69"/>
      <c r="I15" s="44"/>
      <c r="J15" s="44"/>
      <c r="K15" s="44"/>
      <c r="L15" s="45"/>
    </row>
  </sheetData>
  <mergeCells count="12">
    <mergeCell ref="B6:D14"/>
    <mergeCell ref="H14:H15"/>
    <mergeCell ref="I14:L15"/>
    <mergeCell ref="C1:C4"/>
    <mergeCell ref="L4:L5"/>
    <mergeCell ref="F4:F5"/>
    <mergeCell ref="G4:G5"/>
    <mergeCell ref="H4:H5"/>
    <mergeCell ref="I4:I5"/>
    <mergeCell ref="J4:J5"/>
    <mergeCell ref="K4:K5"/>
    <mergeCell ref="B5:D5"/>
  </mergeCells>
  <conditionalFormatting sqref="F3:F15">
    <cfRule type="expression" dxfId="17" priority="3">
      <formula>F$2="НД"</formula>
    </cfRule>
  </conditionalFormatting>
  <conditionalFormatting sqref="F3:K4">
    <cfRule type="expression" dxfId="16" priority="4">
      <formula>DAY(F3)&gt;8</formula>
    </cfRule>
  </conditionalFormatting>
  <conditionalFormatting sqref="F12:L12 F14:G14">
    <cfRule type="expression" dxfId="15" priority="5">
      <formula>AND(DAY(F12)&gt;=1,DAY(F12)&lt;=15)</formula>
    </cfRule>
  </conditionalFormatting>
  <conditionalFormatting sqref="K3:L4 K6:L13">
    <cfRule type="expression" dxfId="14" priority="2">
      <formula>K$2="СБ"</formula>
    </cfRule>
  </conditionalFormatting>
  <conditionalFormatting sqref="L3:L4 L6:L13">
    <cfRule type="expression" dxfId="13" priority="1">
      <formula>$L$2="НД"</formula>
    </cfRule>
  </conditionalFormatting>
  <printOptions horizontalCentered="1" verticalCentered="1"/>
  <pageMargins left="0.25" right="0.25" top="0.5" bottom="0.5" header="0.3" footer="0.3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L15"/>
  <sheetViews>
    <sheetView showGridLines="0" topLeftCell="A4" zoomScaleNormal="100" workbookViewId="0">
      <selection activeCell="J4" sqref="J4:J5"/>
    </sheetView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12" width="18.42578125" customWidth="1"/>
    <col min="13" max="13" width="2.7109375" customWidth="1"/>
    <col min="14" max="14" width="10" customWidth="1"/>
  </cols>
  <sheetData>
    <row r="1" spans="1:12" ht="15" customHeight="1" x14ac:dyDescent="0.25">
      <c r="B1" s="10"/>
      <c r="C1" s="47">
        <f>КалендарРік</f>
        <v>2025</v>
      </c>
      <c r="D1" s="10"/>
    </row>
    <row r="2" spans="1:12" s="3" customFormat="1" ht="35.25" customHeight="1" x14ac:dyDescent="0.3">
      <c r="A2" s="2"/>
      <c r="B2" s="11"/>
      <c r="C2" s="47"/>
      <c r="D2" s="11"/>
      <c r="E2" s="2"/>
      <c r="F2" s="13" t="str">
        <f>UPPER(TEXT(ПочатокТижня,"ddd"))</f>
        <v>ПН</v>
      </c>
      <c r="G2" s="13" t="str">
        <f t="shared" ref="G2:L2" si="0">UPPER(TEXT(G3,"ddd"))</f>
        <v>ВТ</v>
      </c>
      <c r="H2" s="13" t="str">
        <f t="shared" si="0"/>
        <v>СР</v>
      </c>
      <c r="I2" s="13" t="str">
        <f t="shared" si="0"/>
        <v>ЧТ</v>
      </c>
      <c r="J2" s="13" t="str">
        <f t="shared" si="0"/>
        <v>ПТ</v>
      </c>
      <c r="K2" s="13" t="str">
        <f t="shared" si="0"/>
        <v>СБ</v>
      </c>
      <c r="L2" s="13" t="str">
        <f t="shared" si="0"/>
        <v>НД</v>
      </c>
    </row>
    <row r="3" spans="1:12" s="5" customFormat="1" ht="19.5" customHeight="1" x14ac:dyDescent="0.3">
      <c r="A3" s="4"/>
      <c r="B3" s="12"/>
      <c r="C3" s="47"/>
      <c r="D3" s="12"/>
      <c r="E3" s="4"/>
      <c r="F3" s="14">
        <f t="array" ref="F3:L3">ДніТаТижні+DATE(КалендарРік,11,1)-WEEKDAY(DATE(КалендарРік,11,1),(ПочатокТижня="ПН")+1)+1</f>
        <v>45957</v>
      </c>
      <c r="G3" s="14">
        <v>45958</v>
      </c>
      <c r="H3" s="14">
        <v>45959</v>
      </c>
      <c r="I3" s="14">
        <v>45960</v>
      </c>
      <c r="J3" s="14">
        <v>45961</v>
      </c>
      <c r="K3" s="14">
        <v>45962</v>
      </c>
      <c r="L3" s="16">
        <v>45963</v>
      </c>
    </row>
    <row r="4" spans="1:12" s="5" customFormat="1" ht="19.5" customHeight="1" x14ac:dyDescent="0.25">
      <c r="A4" s="4"/>
      <c r="B4" s="12"/>
      <c r="C4" s="47"/>
      <c r="D4" s="12"/>
      <c r="E4" s="4"/>
      <c r="F4" s="48"/>
      <c r="G4" s="48"/>
      <c r="H4" s="75"/>
      <c r="I4" s="75"/>
      <c r="J4" s="75"/>
      <c r="K4" s="48"/>
      <c r="L4" s="50"/>
    </row>
    <row r="5" spans="1:12" ht="55.5" customHeight="1" x14ac:dyDescent="0.25">
      <c r="B5" s="59" t="str">
        <f>UPPER(TEXT(F6,"mmmm"))</f>
        <v>ЛИСТОПАД</v>
      </c>
      <c r="C5" s="59"/>
      <c r="D5" s="59"/>
      <c r="F5" s="49"/>
      <c r="G5" s="49"/>
      <c r="H5" s="76"/>
      <c r="I5" s="76"/>
      <c r="J5" s="76"/>
      <c r="K5" s="49"/>
      <c r="L5" s="51"/>
    </row>
    <row r="6" spans="1:12" s="5" customFormat="1" ht="19.5" customHeight="1" x14ac:dyDescent="0.3">
      <c r="A6" s="4"/>
      <c r="B6" s="39"/>
      <c r="C6" s="39"/>
      <c r="D6" s="39"/>
      <c r="E6" s="4"/>
      <c r="F6" s="14">
        <f t="array" ref="F6:L6">ДніТаТижні+DATE(КалендарРік,11,1)-WEEKDAY(DATE(КалендарРік,11,1),(ПочатокТижня="ПН")+1)+8</f>
        <v>45964</v>
      </c>
      <c r="G6" s="14">
        <v>45965</v>
      </c>
      <c r="H6" s="14">
        <v>45966</v>
      </c>
      <c r="I6" s="14">
        <v>45967</v>
      </c>
      <c r="J6" s="14">
        <v>45968</v>
      </c>
      <c r="K6" s="14">
        <v>45969</v>
      </c>
      <c r="L6" s="16">
        <v>45970</v>
      </c>
    </row>
    <row r="7" spans="1:12" ht="75" customHeight="1" x14ac:dyDescent="0.25">
      <c r="B7" s="39"/>
      <c r="C7" s="39"/>
      <c r="D7" s="39"/>
      <c r="F7" s="21" t="s">
        <v>5</v>
      </c>
      <c r="G7" s="25" t="s">
        <v>6</v>
      </c>
      <c r="H7" s="25" t="s">
        <v>6</v>
      </c>
      <c r="I7" s="23" t="s">
        <v>7</v>
      </c>
      <c r="J7" s="24" t="s">
        <v>8</v>
      </c>
      <c r="L7" s="19"/>
    </row>
    <row r="8" spans="1:12" s="5" customFormat="1" ht="19.5" customHeight="1" x14ac:dyDescent="0.3">
      <c r="A8" s="4"/>
      <c r="B8" s="39"/>
      <c r="C8" s="39"/>
      <c r="D8" s="39"/>
      <c r="E8" s="4"/>
      <c r="F8" s="14">
        <f t="array" ref="F8:L8">ДніТаТижні+DATE(КалендарРік,11,1)-WEEKDAY(DATE(КалендарРік,11,1),(ПочатокТижня="ПН")+1)+15</f>
        <v>45971</v>
      </c>
      <c r="G8" s="14">
        <v>45972</v>
      </c>
      <c r="H8" s="14">
        <v>45973</v>
      </c>
      <c r="I8" s="14">
        <v>45974</v>
      </c>
      <c r="J8" s="14">
        <v>45975</v>
      </c>
      <c r="K8" s="14">
        <v>45976</v>
      </c>
      <c r="L8" s="16">
        <v>45977</v>
      </c>
    </row>
    <row r="9" spans="1:12" ht="75" customHeight="1" x14ac:dyDescent="0.25">
      <c r="B9" s="39"/>
      <c r="C9" s="39"/>
      <c r="D9" s="39"/>
      <c r="F9" s="21" t="s">
        <v>5</v>
      </c>
      <c r="G9" s="25" t="s">
        <v>6</v>
      </c>
      <c r="H9" s="25" t="s">
        <v>6</v>
      </c>
      <c r="I9" s="23" t="s">
        <v>7</v>
      </c>
      <c r="J9" s="24" t="s">
        <v>8</v>
      </c>
      <c r="L9" s="19"/>
    </row>
    <row r="10" spans="1:12" s="5" customFormat="1" ht="19.5" customHeight="1" x14ac:dyDescent="0.3">
      <c r="A10" s="4"/>
      <c r="B10" s="39"/>
      <c r="C10" s="39"/>
      <c r="D10" s="39"/>
      <c r="E10" s="4"/>
      <c r="F10" s="14">
        <f t="array" ref="F10:L10">ДніТаТижні+DATE(КалендарРік,11,1)-WEEKDAY(DATE(КалендарРік,11,1),(ПочатокТижня="ПН")+1)+22</f>
        <v>45978</v>
      </c>
      <c r="G10" s="14">
        <v>45979</v>
      </c>
      <c r="H10" s="14">
        <v>45980</v>
      </c>
      <c r="I10" s="14">
        <v>45981</v>
      </c>
      <c r="J10" s="14">
        <v>45982</v>
      </c>
      <c r="K10" s="14">
        <v>45983</v>
      </c>
      <c r="L10" s="16">
        <v>45984</v>
      </c>
    </row>
    <row r="11" spans="1:12" ht="75" customHeight="1" x14ac:dyDescent="0.25">
      <c r="B11" s="39"/>
      <c r="C11" s="39"/>
      <c r="D11" s="39"/>
      <c r="F11" s="21" t="s">
        <v>5</v>
      </c>
      <c r="G11" s="25" t="s">
        <v>6</v>
      </c>
      <c r="H11" s="22" t="s">
        <v>6</v>
      </c>
      <c r="I11" s="23" t="s">
        <v>7</v>
      </c>
      <c r="J11" s="24" t="s">
        <v>8</v>
      </c>
      <c r="L11" s="19"/>
    </row>
    <row r="12" spans="1:12" s="5" customFormat="1" ht="19.5" customHeight="1" x14ac:dyDescent="0.3">
      <c r="A12" s="4"/>
      <c r="B12" s="39"/>
      <c r="C12" s="39"/>
      <c r="D12" s="39"/>
      <c r="E12" s="4"/>
      <c r="F12" s="14">
        <f t="array" ref="F12:L12">ДніТаТижні+DATE(КалендарРік,11,1)-WEEKDAY(DATE(КалендарРік,11,1),(ПочатокТижня="ПН")+1)+29</f>
        <v>45985</v>
      </c>
      <c r="G12" s="14">
        <v>45986</v>
      </c>
      <c r="H12" s="14">
        <v>45987</v>
      </c>
      <c r="I12" s="14">
        <v>45988</v>
      </c>
      <c r="J12" s="14">
        <v>45989</v>
      </c>
      <c r="K12" s="14">
        <v>45990</v>
      </c>
      <c r="L12" s="14">
        <v>45991</v>
      </c>
    </row>
    <row r="13" spans="1:12" ht="75" customHeight="1" x14ac:dyDescent="0.25">
      <c r="B13" s="39"/>
      <c r="C13" s="39"/>
      <c r="D13" s="39"/>
      <c r="F13" s="21" t="s">
        <v>5</v>
      </c>
      <c r="G13" s="25" t="s">
        <v>6</v>
      </c>
      <c r="H13" s="25" t="s">
        <v>6</v>
      </c>
      <c r="I13" s="23" t="s">
        <v>7</v>
      </c>
      <c r="J13" s="24" t="s">
        <v>8</v>
      </c>
      <c r="L13" s="19"/>
    </row>
    <row r="14" spans="1:12" s="5" customFormat="1" ht="19.5" customHeight="1" x14ac:dyDescent="0.3">
      <c r="A14" s="4"/>
      <c r="B14" s="39"/>
      <c r="C14" s="39"/>
      <c r="D14" s="39"/>
      <c r="E14" s="4"/>
      <c r="F14" s="14">
        <f t="array" ref="F14:G14">ДніТаТижні+DATE(КалендарРік,11,1)-WEEKDAY(DATE(КалендарРік,11,1),(ПочатокТижня="ПН")+1)+36</f>
        <v>45992</v>
      </c>
      <c r="G14" s="14">
        <v>45993</v>
      </c>
      <c r="H14" s="68" t="s">
        <v>4</v>
      </c>
      <c r="I14" s="42"/>
      <c r="J14" s="42"/>
      <c r="K14" s="42"/>
      <c r="L14" s="43"/>
    </row>
    <row r="15" spans="1:12" ht="75" customHeight="1" x14ac:dyDescent="0.25">
      <c r="B15" s="10"/>
      <c r="C15" s="10"/>
      <c r="D15" s="10"/>
      <c r="F15" s="9"/>
      <c r="G15" s="9"/>
      <c r="H15" s="69"/>
      <c r="I15" s="44"/>
      <c r="J15" s="44"/>
      <c r="K15" s="44"/>
      <c r="L15" s="45"/>
    </row>
  </sheetData>
  <mergeCells count="12">
    <mergeCell ref="B6:D14"/>
    <mergeCell ref="H14:H15"/>
    <mergeCell ref="I14:L15"/>
    <mergeCell ref="C1:C4"/>
    <mergeCell ref="L4:L5"/>
    <mergeCell ref="F4:F5"/>
    <mergeCell ref="G4:G5"/>
    <mergeCell ref="H4:H5"/>
    <mergeCell ref="I4:I5"/>
    <mergeCell ref="J4:J5"/>
    <mergeCell ref="K4:K5"/>
    <mergeCell ref="B5:D5"/>
  </mergeCells>
  <conditionalFormatting sqref="F3:F15">
    <cfRule type="expression" dxfId="12" priority="3">
      <formula>F$2="НД"</formula>
    </cfRule>
  </conditionalFormatting>
  <conditionalFormatting sqref="F3:K4">
    <cfRule type="expression" dxfId="11" priority="4">
      <formula>DAY(F3)&gt;8</formula>
    </cfRule>
  </conditionalFormatting>
  <conditionalFormatting sqref="F12:L12 F14:G14">
    <cfRule type="expression" dxfId="10" priority="5">
      <formula>AND(DAY(F12)&gt;=1,DAY(F12)&lt;=15)</formula>
    </cfRule>
  </conditionalFormatting>
  <conditionalFormatting sqref="K3:L4 K6:L13">
    <cfRule type="expression" dxfId="9" priority="2">
      <formula>K$2="СБ"</formula>
    </cfRule>
  </conditionalFormatting>
  <conditionalFormatting sqref="L3:L4 L6:L13">
    <cfRule type="expression" dxfId="8" priority="1">
      <formula>$L$2="НД"</formula>
    </cfRule>
  </conditionalFormatting>
  <printOptions horizontalCentered="1" verticalCentered="1"/>
  <pageMargins left="0.25" right="0.25" top="0.5" bottom="0.5" header="0.3" footer="0.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autoPageBreaks="0" fitToPage="1"/>
  </sheetPr>
  <dimension ref="A1:L15"/>
  <sheetViews>
    <sheetView showGridLines="0" tabSelected="1" zoomScaleNormal="100" workbookViewId="0">
      <selection activeCell="G15" sqref="G15"/>
    </sheetView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12" width="18.42578125" customWidth="1"/>
    <col min="13" max="13" width="2.7109375" customWidth="1"/>
    <col min="14" max="14" width="10" customWidth="1"/>
  </cols>
  <sheetData>
    <row r="1" spans="1:12" ht="15" customHeight="1" x14ac:dyDescent="0.25">
      <c r="B1" s="10"/>
      <c r="C1" s="47">
        <f>КалендарРік</f>
        <v>2025</v>
      </c>
      <c r="D1" s="10"/>
    </row>
    <row r="2" spans="1:12" s="3" customFormat="1" ht="35.25" customHeight="1" x14ac:dyDescent="0.3">
      <c r="A2" s="2"/>
      <c r="B2" s="11"/>
      <c r="C2" s="47"/>
      <c r="D2" s="11"/>
      <c r="E2" s="2"/>
      <c r="F2" s="13" t="str">
        <f>UPPER(TEXT(ПочатокТижня,"ddd"))</f>
        <v>ПН</v>
      </c>
      <c r="G2" s="13" t="str">
        <f t="shared" ref="G2:L2" si="0">UPPER(TEXT(G3,"ddd"))</f>
        <v>ВТ</v>
      </c>
      <c r="H2" s="13" t="str">
        <f t="shared" si="0"/>
        <v>СР</v>
      </c>
      <c r="I2" s="13" t="str">
        <f t="shared" si="0"/>
        <v>ЧТ</v>
      </c>
      <c r="J2" s="13" t="str">
        <f t="shared" si="0"/>
        <v>ПТ</v>
      </c>
      <c r="K2" s="13" t="str">
        <f t="shared" si="0"/>
        <v>СБ</v>
      </c>
      <c r="L2" s="13" t="str">
        <f t="shared" si="0"/>
        <v>НД</v>
      </c>
    </row>
    <row r="3" spans="1:12" s="5" customFormat="1" ht="19.5" customHeight="1" x14ac:dyDescent="0.3">
      <c r="A3" s="4"/>
      <c r="B3" s="12"/>
      <c r="C3" s="47"/>
      <c r="D3" s="12"/>
      <c r="E3" s="4"/>
      <c r="F3" s="14">
        <f t="array" ref="F3:L3">ДніТаТижні+DATE(КалендарРік,12,1)-WEEKDAY(DATE(КалендарРік,12,1),(ПочатокТижня="ПН")+1)+1</f>
        <v>45992</v>
      </c>
      <c r="G3" s="14">
        <v>45993</v>
      </c>
      <c r="H3" s="14">
        <v>45994</v>
      </c>
      <c r="I3" s="14">
        <v>45995</v>
      </c>
      <c r="J3" s="14">
        <v>45996</v>
      </c>
      <c r="K3" s="14">
        <v>45997</v>
      </c>
      <c r="L3" s="16">
        <v>45998</v>
      </c>
    </row>
    <row r="4" spans="1:12" s="5" customFormat="1" ht="19.5" customHeight="1" x14ac:dyDescent="0.25">
      <c r="A4" s="4"/>
      <c r="B4" s="12"/>
      <c r="C4" s="47"/>
      <c r="D4" s="12"/>
      <c r="E4" s="4"/>
      <c r="F4" s="52" t="s">
        <v>5</v>
      </c>
      <c r="G4" s="53" t="s">
        <v>6</v>
      </c>
      <c r="H4" s="53" t="s">
        <v>6</v>
      </c>
      <c r="I4" s="55" t="s">
        <v>7</v>
      </c>
      <c r="J4" s="70" t="s">
        <v>8</v>
      </c>
      <c r="K4" s="48"/>
      <c r="L4" s="50"/>
    </row>
    <row r="5" spans="1:12" ht="55.5" customHeight="1" x14ac:dyDescent="0.25">
      <c r="B5" s="59" t="str">
        <f>UPPER(TEXT(F6,"mmmm"))</f>
        <v>ГРУДЕНЬ</v>
      </c>
      <c r="C5" s="59"/>
      <c r="D5" s="59"/>
      <c r="F5" s="82"/>
      <c r="G5" s="54"/>
      <c r="H5" s="54"/>
      <c r="I5" s="56"/>
      <c r="J5" s="71"/>
      <c r="K5" s="49"/>
      <c r="L5" s="51"/>
    </row>
    <row r="6" spans="1:12" s="5" customFormat="1" ht="19.5" customHeight="1" x14ac:dyDescent="0.3">
      <c r="A6" s="4"/>
      <c r="B6" s="39"/>
      <c r="C6" s="39"/>
      <c r="D6" s="39"/>
      <c r="E6" s="4"/>
      <c r="F6" s="14">
        <f t="array" ref="F6:L6">ДніТаТижні+DATE(КалендарРік,12,1)-WEEKDAY(DATE(КалендарРік,12,1),(ПочатокТижня="ПН")+1)+8</f>
        <v>45999</v>
      </c>
      <c r="G6" s="14">
        <v>46000</v>
      </c>
      <c r="H6" s="14">
        <v>46001</v>
      </c>
      <c r="I6" s="14">
        <v>46002</v>
      </c>
      <c r="J6" s="14">
        <v>46003</v>
      </c>
      <c r="K6" s="14">
        <v>46004</v>
      </c>
      <c r="L6" s="16">
        <v>46005</v>
      </c>
    </row>
    <row r="7" spans="1:12" ht="75" customHeight="1" x14ac:dyDescent="0.25">
      <c r="B7" s="39"/>
      <c r="C7" s="39"/>
      <c r="D7" s="39"/>
      <c r="F7" s="21" t="s">
        <v>5</v>
      </c>
      <c r="G7" s="25" t="s">
        <v>6</v>
      </c>
      <c r="H7" s="25" t="s">
        <v>6</v>
      </c>
      <c r="I7" s="23" t="s">
        <v>7</v>
      </c>
      <c r="J7" s="24" t="s">
        <v>8</v>
      </c>
      <c r="L7" s="19"/>
    </row>
    <row r="8" spans="1:12" s="5" customFormat="1" ht="19.5" customHeight="1" x14ac:dyDescent="0.3">
      <c r="A8" s="4"/>
      <c r="B8" s="39"/>
      <c r="C8" s="39"/>
      <c r="D8" s="39"/>
      <c r="E8" s="4"/>
      <c r="F8" s="14">
        <f t="array" ref="F8:L8">ДніТаТижні+DATE(КалендарРік,12,1)-WEEKDAY(DATE(КалендарРік,12,1),(ПочатокТижня="ПН")+1)+15</f>
        <v>46006</v>
      </c>
      <c r="G8" s="14">
        <v>46007</v>
      </c>
      <c r="H8" s="14">
        <v>46008</v>
      </c>
      <c r="I8" s="14">
        <v>46009</v>
      </c>
      <c r="J8" s="14">
        <v>46010</v>
      </c>
      <c r="K8" s="14">
        <v>46011</v>
      </c>
      <c r="L8" s="16">
        <v>46012</v>
      </c>
    </row>
    <row r="9" spans="1:12" ht="75" customHeight="1" x14ac:dyDescent="0.25">
      <c r="B9" s="39"/>
      <c r="C9" s="39"/>
      <c r="D9" s="39"/>
      <c r="F9" s="21" t="s">
        <v>5</v>
      </c>
      <c r="G9" s="25" t="s">
        <v>6</v>
      </c>
      <c r="H9" s="25" t="s">
        <v>6</v>
      </c>
      <c r="I9" s="23" t="s">
        <v>7</v>
      </c>
      <c r="J9" s="24" t="s">
        <v>8</v>
      </c>
      <c r="L9" s="19"/>
    </row>
    <row r="10" spans="1:12" s="5" customFormat="1" ht="19.5" customHeight="1" x14ac:dyDescent="0.3">
      <c r="A10" s="4"/>
      <c r="B10" s="39"/>
      <c r="C10" s="39"/>
      <c r="D10" s="39"/>
      <c r="E10" s="4"/>
      <c r="F10" s="14">
        <f t="array" ref="F10:L10">ДніТаТижні+DATE(КалендарРік,12,1)-WEEKDAY(DATE(КалендарРік,12,1),(ПочатокТижня="ПН")+1)+22</f>
        <v>46013</v>
      </c>
      <c r="G10" s="14">
        <v>46014</v>
      </c>
      <c r="H10" s="14">
        <v>46015</v>
      </c>
      <c r="I10" s="14">
        <v>46016</v>
      </c>
      <c r="J10" s="14">
        <v>46017</v>
      </c>
      <c r="K10" s="14">
        <v>46018</v>
      </c>
      <c r="L10" s="16">
        <v>46019</v>
      </c>
    </row>
    <row r="11" spans="1:12" ht="75" customHeight="1" x14ac:dyDescent="0.25">
      <c r="B11" s="39"/>
      <c r="C11" s="39"/>
      <c r="D11" s="39"/>
      <c r="F11" s="21" t="s">
        <v>5</v>
      </c>
      <c r="G11" s="25" t="s">
        <v>6</v>
      </c>
      <c r="H11" s="25" t="s">
        <v>6</v>
      </c>
      <c r="I11" s="23" t="s">
        <v>7</v>
      </c>
      <c r="J11" s="24" t="s">
        <v>8</v>
      </c>
      <c r="L11" s="19"/>
    </row>
    <row r="12" spans="1:12" s="5" customFormat="1" ht="19.5" customHeight="1" x14ac:dyDescent="0.3">
      <c r="A12" s="4"/>
      <c r="B12" s="39"/>
      <c r="C12" s="39"/>
      <c r="D12" s="39"/>
      <c r="E12" s="4"/>
      <c r="F12" s="14">
        <f t="array" ref="F12:L12">ДніТаТижні+DATE(КалендарРік,12,1)-WEEKDAY(DATE(КалендарРік,12,1),(ПочатокТижня="ПН")+1)+29</f>
        <v>46020</v>
      </c>
      <c r="G12" s="14">
        <v>46021</v>
      </c>
      <c r="H12" s="14">
        <v>46022</v>
      </c>
      <c r="I12" s="14">
        <v>46023</v>
      </c>
      <c r="J12" s="14">
        <v>46024</v>
      </c>
      <c r="K12" s="14">
        <v>46025</v>
      </c>
      <c r="L12" s="14">
        <v>46026</v>
      </c>
    </row>
    <row r="13" spans="1:12" ht="75" customHeight="1" x14ac:dyDescent="0.25">
      <c r="B13" s="39"/>
      <c r="C13" s="39"/>
      <c r="D13" s="39"/>
      <c r="F13" s="21" t="s">
        <v>5</v>
      </c>
      <c r="G13" s="25" t="s">
        <v>6</v>
      </c>
      <c r="H13" s="25" t="s">
        <v>6</v>
      </c>
      <c r="I13" s="38"/>
      <c r="J13" s="77"/>
      <c r="L13" s="19"/>
    </row>
    <row r="14" spans="1:12" s="5" customFormat="1" ht="19.5" customHeight="1" x14ac:dyDescent="0.3">
      <c r="A14" s="4"/>
      <c r="B14" s="39"/>
      <c r="C14" s="39"/>
      <c r="D14" s="39"/>
      <c r="E14" s="4"/>
      <c r="F14" s="14">
        <f t="array" ref="F14:G14">ДніТаТижні+DATE(КалендарРік,12,1)-WEEKDAY(DATE(КалендарРік,12,1),(ПочатокТижня="ПН")+1)+36</f>
        <v>46027</v>
      </c>
      <c r="G14" s="14">
        <v>46028</v>
      </c>
      <c r="H14" s="68" t="s">
        <v>4</v>
      </c>
      <c r="I14" s="42"/>
      <c r="J14" s="42"/>
      <c r="K14" s="42"/>
      <c r="L14" s="43"/>
    </row>
    <row r="15" spans="1:12" ht="75" customHeight="1" x14ac:dyDescent="0.25">
      <c r="B15" s="10"/>
      <c r="C15" s="10"/>
      <c r="D15" s="10"/>
      <c r="F15" s="83"/>
      <c r="G15" s="84"/>
      <c r="H15" s="69"/>
      <c r="I15" s="44"/>
      <c r="J15" s="44"/>
      <c r="K15" s="44"/>
      <c r="L15" s="45"/>
    </row>
  </sheetData>
  <mergeCells count="12">
    <mergeCell ref="B6:D14"/>
    <mergeCell ref="H14:H15"/>
    <mergeCell ref="I14:L15"/>
    <mergeCell ref="C1:C4"/>
    <mergeCell ref="L4:L5"/>
    <mergeCell ref="F4:F5"/>
    <mergeCell ref="G4:G5"/>
    <mergeCell ref="H4:H5"/>
    <mergeCell ref="I4:I5"/>
    <mergeCell ref="J4:J5"/>
    <mergeCell ref="K4:K5"/>
    <mergeCell ref="B5:D5"/>
  </mergeCells>
  <conditionalFormatting sqref="F3:F15">
    <cfRule type="expression" dxfId="7" priority="4">
      <formula>F$2="НД"</formula>
    </cfRule>
  </conditionalFormatting>
  <conditionalFormatting sqref="F3:K3 F4:G4 I4:K4">
    <cfRule type="expression" dxfId="6" priority="5">
      <formula>DAY(F3)&gt;8</formula>
    </cfRule>
  </conditionalFormatting>
  <conditionalFormatting sqref="F12:L12 F14:G14">
    <cfRule type="expression" dxfId="5" priority="6">
      <formula>AND(DAY(F12)&gt;=1,DAY(F12)&lt;=15)</formula>
    </cfRule>
  </conditionalFormatting>
  <conditionalFormatting sqref="K3:L4 K6:L13">
    <cfRule type="expression" dxfId="4" priority="3">
      <formula>K$2="СБ"</formula>
    </cfRule>
  </conditionalFormatting>
  <conditionalFormatting sqref="L3:L4 L6:L13">
    <cfRule type="expression" dxfId="3" priority="2">
      <formula>$L$2="НД"</formula>
    </cfRule>
  </conditionalFormatting>
  <conditionalFormatting sqref="H4">
    <cfRule type="expression" dxfId="0" priority="1">
      <formula>DAY(H4)&gt;8</formula>
    </cfRule>
  </conditionalFormatting>
  <printOptions horizontalCentered="1" verticalCentered="1"/>
  <pageMargins left="0.25" right="0.25" top="0.5" bottom="0.5" header="0.3" footer="0.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14</vt:i4>
      </vt:variant>
    </vt:vector>
  </HeadingPairs>
  <TitlesOfParts>
    <vt:vector size="29" baseType="lpstr">
      <vt:lpstr>Січень</vt:lpstr>
      <vt:lpstr>Лютий</vt:lpstr>
      <vt:lpstr>Березень</vt:lpstr>
      <vt:lpstr>Квітень</vt:lpstr>
      <vt:lpstr>Травень</vt:lpstr>
      <vt:lpstr>Аркуш3</vt:lpstr>
      <vt:lpstr>Червень</vt:lpstr>
      <vt:lpstr>Липень</vt:lpstr>
      <vt:lpstr>Серпень</vt:lpstr>
      <vt:lpstr>Вересень</vt:lpstr>
      <vt:lpstr>Аркуш1</vt:lpstr>
      <vt:lpstr>Жовтень</vt:lpstr>
      <vt:lpstr>Листопад</vt:lpstr>
      <vt:lpstr>Грудень</vt:lpstr>
      <vt:lpstr>Аркуш2</vt:lpstr>
      <vt:lpstr>КалендарРік</vt:lpstr>
      <vt:lpstr>Березень!Область_печати</vt:lpstr>
      <vt:lpstr>Вересень!Область_печати</vt:lpstr>
      <vt:lpstr>Грудень!Область_печати</vt:lpstr>
      <vt:lpstr>Жовтень!Область_печати</vt:lpstr>
      <vt:lpstr>Квітень!Область_печати</vt:lpstr>
      <vt:lpstr>Липень!Область_печати</vt:lpstr>
      <vt:lpstr>Листопад!Область_печати</vt:lpstr>
      <vt:lpstr>Лютий!Область_печати</vt:lpstr>
      <vt:lpstr>Серпень!Область_печати</vt:lpstr>
      <vt:lpstr>Січень!Область_печати</vt:lpstr>
      <vt:lpstr>Травень!Область_печати</vt:lpstr>
      <vt:lpstr>Червень!Область_печати</vt:lpstr>
      <vt:lpstr>ПочатокТижня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Пользователь Windows</cp:lastModifiedBy>
  <cp:revision/>
  <dcterms:created xsi:type="dcterms:W3CDTF">2019-04-09T17:19:32Z</dcterms:created>
  <dcterms:modified xsi:type="dcterms:W3CDTF">2025-03-07T19:17:41Z</dcterms:modified>
  <cp:category/>
  <cp:contentStatus/>
</cp:coreProperties>
</file>